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0 Información www asotacgua com\DICIEMBRE 2020\Numeral 8\"/>
    </mc:Choice>
  </mc:AlternateContent>
  <bookViews>
    <workbookView xWindow="0" yWindow="0" windowWidth="20490" windowHeight="7905" tabRatio="810" firstSheet="2" activeTab="11"/>
  </bookViews>
  <sheets>
    <sheet name="ENERO" sheetId="25" r:id="rId1"/>
    <sheet name="FEBRERO" sheetId="27" r:id="rId2"/>
    <sheet name="MARZO" sheetId="29" r:id="rId3"/>
    <sheet name="ABRIL" sheetId="30" r:id="rId4"/>
    <sheet name="MAYO" sheetId="31" r:id="rId5"/>
    <sheet name="JUNIO" sheetId="32" r:id="rId6"/>
    <sheet name="JULIO" sheetId="33" r:id="rId7"/>
    <sheet name="AGOSTO" sheetId="34" r:id="rId8"/>
    <sheet name="SEPTIEMBRE" sheetId="35" r:id="rId9"/>
    <sheet name="OCTUBRE" sheetId="36" r:id="rId10"/>
    <sheet name="NOVIEMBRE" sheetId="37" r:id="rId11"/>
    <sheet name="DICIEMBRE" sheetId="39" r:id="rId12"/>
  </sheets>
  <externalReferences>
    <externalReference r:id="rId13"/>
  </externalReferences>
  <definedNames>
    <definedName name="_xlnm._FilterDatabase" localSheetId="3" hidden="1">ABRIL!$A$28:$A$135</definedName>
    <definedName name="_xlnm._FilterDatabase" localSheetId="0" hidden="1">ENERO!$A$28:$A$133</definedName>
    <definedName name="_xlnm._FilterDatabase" localSheetId="1" hidden="1">FEBRERO!$A$28:$A$133</definedName>
    <definedName name="_xlnm._FilterDatabase" localSheetId="2" hidden="1">MARZO!$A$28:$A$135</definedName>
    <definedName name="_xlnm._FilterDatabase" localSheetId="4" hidden="1">MAYO!$A$28:$A$135</definedName>
    <definedName name="_xlnm.Print_Area" localSheetId="3">ABRIL!$A$1:$N$174</definedName>
    <definedName name="_xlnm.Print_Area" localSheetId="7">AGOSTO!$A$1:$O$175</definedName>
    <definedName name="_xlnm.Print_Area" localSheetId="11">DICIEMBRE!$A$1:$O$174</definedName>
    <definedName name="_xlnm.Print_Area" localSheetId="0">ENERO!$A$1:$N$171</definedName>
    <definedName name="_xlnm.Print_Area" localSheetId="1">FEBRERO!$A$1:$N$171</definedName>
    <definedName name="_xlnm.Print_Area" localSheetId="6">JULIO!$A$1:$O$174</definedName>
    <definedName name="_xlnm.Print_Area" localSheetId="5">JUNIO!$A$1:$O$75</definedName>
    <definedName name="_xlnm.Print_Area" localSheetId="2">MARZO!$A$1:$N$174</definedName>
    <definedName name="_xlnm.Print_Area" localSheetId="4">MAYO!$A$1:$N$174</definedName>
    <definedName name="_xlnm.Print_Area" localSheetId="10">NOVIEMBRE!$A$1:$O$176</definedName>
    <definedName name="_xlnm.Print_Area" localSheetId="9">OCTUBRE!$A$1:$O$176</definedName>
    <definedName name="_xlnm.Print_Area" localSheetId="8">SEPTIEMBRE!$A$1:$O$175</definedName>
    <definedName name="_xlnm.Print_Titles" localSheetId="3">ABRIL!$6:$7</definedName>
    <definedName name="_xlnm.Print_Titles" localSheetId="0">ENERO!$6:$7</definedName>
    <definedName name="_xlnm.Print_Titles" localSheetId="1">FEBRERO!$6:$7</definedName>
    <definedName name="_xlnm.Print_Titles" localSheetId="2">MARZO!$6:$7</definedName>
    <definedName name="_xlnm.Print_Titles" localSheetId="4">MAYO!$6:$7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5" i="39" l="1"/>
  <c r="C156" i="39" l="1"/>
  <c r="C158" i="39" s="1"/>
  <c r="C144" i="39"/>
  <c r="M136" i="39"/>
  <c r="C148" i="39" s="1"/>
  <c r="K136" i="39"/>
  <c r="J136" i="39"/>
  <c r="I136" i="39"/>
  <c r="H136" i="39"/>
  <c r="G136" i="39"/>
  <c r="E136" i="39"/>
  <c r="C136" i="39"/>
  <c r="O135" i="39"/>
  <c r="L135" i="39"/>
  <c r="N135" i="39" s="1"/>
  <c r="O134" i="39"/>
  <c r="L134" i="39"/>
  <c r="N134" i="39" s="1"/>
  <c r="L133" i="39"/>
  <c r="N133" i="39" s="1"/>
  <c r="N132" i="39"/>
  <c r="L132" i="39"/>
  <c r="O128" i="39"/>
  <c r="L128" i="39"/>
  <c r="N128" i="39" s="1"/>
  <c r="O127" i="39"/>
  <c r="D127" i="39"/>
  <c r="L127" i="39" s="1"/>
  <c r="N127" i="39" s="1"/>
  <c r="O126" i="39"/>
  <c r="L126" i="39"/>
  <c r="N126" i="39" s="1"/>
  <c r="L125" i="39"/>
  <c r="N125" i="39" s="1"/>
  <c r="L124" i="39"/>
  <c r="N124" i="39" s="1"/>
  <c r="O123" i="39"/>
  <c r="L123" i="39"/>
  <c r="N123" i="39" s="1"/>
  <c r="O122" i="39"/>
  <c r="F122" i="39"/>
  <c r="L122" i="39" s="1"/>
  <c r="N122" i="39" s="1"/>
  <c r="O117" i="39"/>
  <c r="N117" i="39"/>
  <c r="L117" i="39"/>
  <c r="L116" i="39"/>
  <c r="N116" i="39" s="1"/>
  <c r="N115" i="39"/>
  <c r="L115" i="39"/>
  <c r="O114" i="39"/>
  <c r="L114" i="39"/>
  <c r="N114" i="39" s="1"/>
  <c r="O113" i="39"/>
  <c r="D113" i="39"/>
  <c r="L113" i="39" s="1"/>
  <c r="N113" i="39" s="1"/>
  <c r="O112" i="39"/>
  <c r="L112" i="39"/>
  <c r="N112" i="39" s="1"/>
  <c r="L111" i="39"/>
  <c r="N111" i="39" s="1"/>
  <c r="L110" i="39"/>
  <c r="N110" i="39" s="1"/>
  <c r="O109" i="39"/>
  <c r="L109" i="39"/>
  <c r="N109" i="39" s="1"/>
  <c r="O108" i="39"/>
  <c r="L108" i="39"/>
  <c r="N108" i="39" s="1"/>
  <c r="L107" i="39"/>
  <c r="N107" i="39" s="1"/>
  <c r="L106" i="39"/>
  <c r="N106" i="39" s="1"/>
  <c r="O105" i="39"/>
  <c r="L105" i="39"/>
  <c r="N105" i="39" s="1"/>
  <c r="O104" i="39"/>
  <c r="L104" i="39"/>
  <c r="N104" i="39" s="1"/>
  <c r="L103" i="39"/>
  <c r="N103" i="39" s="1"/>
  <c r="L102" i="39"/>
  <c r="N102" i="39" s="1"/>
  <c r="O101" i="39"/>
  <c r="L101" i="39"/>
  <c r="N101" i="39" s="1"/>
  <c r="O100" i="39"/>
  <c r="L100" i="39"/>
  <c r="N100" i="39" s="1"/>
  <c r="L99" i="39"/>
  <c r="N99" i="39" s="1"/>
  <c r="L98" i="39"/>
  <c r="N98" i="39" s="1"/>
  <c r="O97" i="39"/>
  <c r="L97" i="39"/>
  <c r="N97" i="39" s="1"/>
  <c r="O96" i="39"/>
  <c r="L96" i="39"/>
  <c r="N96" i="39" s="1"/>
  <c r="L95" i="39"/>
  <c r="N95" i="39" s="1"/>
  <c r="L94" i="39"/>
  <c r="N94" i="39" s="1"/>
  <c r="O93" i="39"/>
  <c r="L93" i="39"/>
  <c r="N93" i="39" s="1"/>
  <c r="O92" i="39"/>
  <c r="L92" i="39"/>
  <c r="N92" i="39" s="1"/>
  <c r="L91" i="39"/>
  <c r="N91" i="39" s="1"/>
  <c r="L90" i="39"/>
  <c r="N90" i="39" s="1"/>
  <c r="O89" i="39"/>
  <c r="L89" i="39"/>
  <c r="N89" i="39" s="1"/>
  <c r="O88" i="39"/>
  <c r="F88" i="39"/>
  <c r="L88" i="39" s="1"/>
  <c r="N88" i="39" s="1"/>
  <c r="O87" i="39"/>
  <c r="N87" i="39"/>
  <c r="L87" i="39"/>
  <c r="L86" i="39"/>
  <c r="N86" i="39" s="1"/>
  <c r="N85" i="39"/>
  <c r="L85" i="39"/>
  <c r="O84" i="39"/>
  <c r="L84" i="39"/>
  <c r="N84" i="39" s="1"/>
  <c r="O83" i="39"/>
  <c r="N83" i="39"/>
  <c r="L83" i="39"/>
  <c r="L82" i="39"/>
  <c r="N82" i="39" s="1"/>
  <c r="N81" i="39"/>
  <c r="L81" i="39"/>
  <c r="O77" i="39"/>
  <c r="F77" i="39"/>
  <c r="F136" i="39" s="1"/>
  <c r="L76" i="39"/>
  <c r="N76" i="39" s="1"/>
  <c r="L75" i="39"/>
  <c r="N75" i="39" s="1"/>
  <c r="O74" i="39"/>
  <c r="L74" i="39"/>
  <c r="N74" i="39" s="1"/>
  <c r="O73" i="39"/>
  <c r="L73" i="39"/>
  <c r="N73" i="39" s="1"/>
  <c r="L72" i="39"/>
  <c r="N72" i="39" s="1"/>
  <c r="L71" i="39"/>
  <c r="N71" i="39" s="1"/>
  <c r="O70" i="39"/>
  <c r="L70" i="39"/>
  <c r="N70" i="39" s="1"/>
  <c r="O69" i="39"/>
  <c r="L69" i="39"/>
  <c r="N69" i="39" s="1"/>
  <c r="L68" i="39"/>
  <c r="N68" i="39" s="1"/>
  <c r="L67" i="39"/>
  <c r="N67" i="39" s="1"/>
  <c r="O66" i="39"/>
  <c r="L66" i="39"/>
  <c r="N66" i="39" s="1"/>
  <c r="O65" i="39"/>
  <c r="L65" i="39"/>
  <c r="N65" i="39" s="1"/>
  <c r="L64" i="39"/>
  <c r="N64" i="39" s="1"/>
  <c r="L63" i="39"/>
  <c r="N63" i="39" s="1"/>
  <c r="O62" i="39"/>
  <c r="L62" i="39"/>
  <c r="N62" i="39" s="1"/>
  <c r="L61" i="39"/>
  <c r="N61" i="39" s="1"/>
  <c r="L60" i="39"/>
  <c r="N60" i="39" s="1"/>
  <c r="O59" i="39"/>
  <c r="N59" i="39"/>
  <c r="L59" i="39"/>
  <c r="L58" i="39"/>
  <c r="N58" i="39" s="1"/>
  <c r="N57" i="39"/>
  <c r="L57" i="39"/>
  <c r="O56" i="39"/>
  <c r="L56" i="39"/>
  <c r="N56" i="39" s="1"/>
  <c r="O55" i="39"/>
  <c r="N55" i="39"/>
  <c r="L55" i="39"/>
  <c r="L54" i="39"/>
  <c r="N54" i="39" s="1"/>
  <c r="N53" i="39"/>
  <c r="L53" i="39"/>
  <c r="O52" i="39"/>
  <c r="L52" i="39"/>
  <c r="N52" i="39" s="1"/>
  <c r="O51" i="39"/>
  <c r="N51" i="39"/>
  <c r="L51" i="39"/>
  <c r="L50" i="39"/>
  <c r="N50" i="39" s="1"/>
  <c r="N49" i="39"/>
  <c r="L49" i="39"/>
  <c r="O48" i="39"/>
  <c r="L48" i="39"/>
  <c r="N48" i="39" s="1"/>
  <c r="O47" i="39"/>
  <c r="N47" i="39"/>
  <c r="L47" i="39"/>
  <c r="O46" i="39"/>
  <c r="L46" i="39"/>
  <c r="N46" i="39" s="1"/>
  <c r="O45" i="39"/>
  <c r="L45" i="39"/>
  <c r="N45" i="39" s="1"/>
  <c r="O44" i="39"/>
  <c r="L44" i="39"/>
  <c r="N44" i="39" s="1"/>
  <c r="O40" i="39"/>
  <c r="L40" i="39"/>
  <c r="N40" i="39" s="1"/>
  <c r="O39" i="39"/>
  <c r="L39" i="39"/>
  <c r="N39" i="39" s="1"/>
  <c r="O38" i="39"/>
  <c r="N38" i="39"/>
  <c r="L38" i="39"/>
  <c r="O37" i="39"/>
  <c r="L37" i="39"/>
  <c r="N37" i="39" s="1"/>
  <c r="O36" i="39"/>
  <c r="N36" i="39"/>
  <c r="L36" i="39"/>
  <c r="O35" i="39"/>
  <c r="L35" i="39"/>
  <c r="N35" i="39" s="1"/>
  <c r="O34" i="39"/>
  <c r="L34" i="39"/>
  <c r="N34" i="39" s="1"/>
  <c r="O33" i="39"/>
  <c r="L33" i="39"/>
  <c r="N33" i="39" s="1"/>
  <c r="O32" i="39"/>
  <c r="L32" i="39"/>
  <c r="N32" i="39" s="1"/>
  <c r="O31" i="39"/>
  <c r="L31" i="39"/>
  <c r="N31" i="39" s="1"/>
  <c r="K26" i="39"/>
  <c r="J26" i="39"/>
  <c r="I26" i="39"/>
  <c r="H26" i="39"/>
  <c r="G26" i="39"/>
  <c r="F26" i="39"/>
  <c r="E26" i="39"/>
  <c r="D26" i="39"/>
  <c r="C26" i="39"/>
  <c r="C27" i="39" s="1"/>
  <c r="L25" i="39"/>
  <c r="N25" i="39" s="1"/>
  <c r="N24" i="39"/>
  <c r="L24" i="39"/>
  <c r="L22" i="39"/>
  <c r="N22" i="39" s="1"/>
  <c r="L21" i="39"/>
  <c r="N21" i="39" s="1"/>
  <c r="L20" i="39"/>
  <c r="N20" i="39" s="1"/>
  <c r="L19" i="39"/>
  <c r="N19" i="39" s="1"/>
  <c r="M18" i="39"/>
  <c r="L18" i="39"/>
  <c r="L15" i="39"/>
  <c r="N15" i="39" s="1"/>
  <c r="N13" i="39"/>
  <c r="L13" i="39"/>
  <c r="L12" i="39"/>
  <c r="N12" i="39" s="1"/>
  <c r="L11" i="39"/>
  <c r="M10" i="39"/>
  <c r="L10" i="39"/>
  <c r="N18" i="39" l="1"/>
  <c r="L77" i="39"/>
  <c r="N77" i="39" s="1"/>
  <c r="N136" i="39" s="1"/>
  <c r="N10" i="39"/>
  <c r="O49" i="39"/>
  <c r="O54" i="39"/>
  <c r="O57" i="39"/>
  <c r="O63" i="39"/>
  <c r="O68" i="39"/>
  <c r="O71" i="39"/>
  <c r="O76" i="39"/>
  <c r="O82" i="39"/>
  <c r="O85" i="39"/>
  <c r="O90" i="39"/>
  <c r="O95" i="39"/>
  <c r="O98" i="39"/>
  <c r="O103" i="39"/>
  <c r="O106" i="39"/>
  <c r="O111" i="39"/>
  <c r="O116" i="39"/>
  <c r="O125" i="39"/>
  <c r="O133" i="39"/>
  <c r="O50" i="39"/>
  <c r="O53" i="39"/>
  <c r="O58" i="39"/>
  <c r="O64" i="39"/>
  <c r="O67" i="39"/>
  <c r="O72" i="39"/>
  <c r="O75" i="39"/>
  <c r="O81" i="39"/>
  <c r="O86" i="39"/>
  <c r="O91" i="39"/>
  <c r="O94" i="39"/>
  <c r="O99" i="39"/>
  <c r="O102" i="39"/>
  <c r="O107" i="39"/>
  <c r="O110" i="39"/>
  <c r="O115" i="39"/>
  <c r="O124" i="39"/>
  <c r="O132" i="39"/>
  <c r="N26" i="39"/>
  <c r="L26" i="39"/>
  <c r="D136" i="39"/>
  <c r="M26" i="39"/>
  <c r="L136" i="39" l="1"/>
  <c r="O24" i="39"/>
  <c r="O19" i="39"/>
  <c r="O20" i="39"/>
  <c r="O18" i="39"/>
  <c r="O25" i="39"/>
  <c r="O12" i="39"/>
  <c r="O22" i="39"/>
  <c r="C147" i="39"/>
  <c r="C149" i="39" s="1"/>
  <c r="C161" i="39" s="1"/>
  <c r="O21" i="39"/>
  <c r="O13" i="39"/>
  <c r="O15" i="39"/>
  <c r="O10" i="39"/>
  <c r="M94" i="37" l="1"/>
  <c r="M73" i="37" l="1"/>
  <c r="C158" i="37"/>
  <c r="M18" i="37"/>
  <c r="M22" i="37"/>
  <c r="M20" i="37"/>
  <c r="M15" i="37"/>
  <c r="M10" i="37"/>
  <c r="C160" i="37" l="1"/>
  <c r="C147" i="37"/>
  <c r="C145" i="37"/>
  <c r="C144" i="37"/>
  <c r="M136" i="37"/>
  <c r="O134" i="37" s="1"/>
  <c r="K136" i="37"/>
  <c r="J136" i="37"/>
  <c r="I136" i="37"/>
  <c r="H136" i="37"/>
  <c r="G136" i="37"/>
  <c r="E136" i="37"/>
  <c r="C136" i="37"/>
  <c r="L135" i="37"/>
  <c r="N135" i="37" s="1"/>
  <c r="L134" i="37"/>
  <c r="N134" i="37" s="1"/>
  <c r="N133" i="37"/>
  <c r="L133" i="37"/>
  <c r="N132" i="37"/>
  <c r="L132" i="37"/>
  <c r="L128" i="37"/>
  <c r="N128" i="37" s="1"/>
  <c r="D127" i="37"/>
  <c r="L127" i="37" s="1"/>
  <c r="N127" i="37" s="1"/>
  <c r="L126" i="37"/>
  <c r="N126" i="37" s="1"/>
  <c r="N125" i="37"/>
  <c r="L125" i="37"/>
  <c r="M124" i="37"/>
  <c r="L124" i="37"/>
  <c r="N124" i="37" s="1"/>
  <c r="N123" i="37"/>
  <c r="L123" i="37"/>
  <c r="L122" i="37"/>
  <c r="N122" i="37" s="1"/>
  <c r="F122" i="37"/>
  <c r="L117" i="37"/>
  <c r="N117" i="37" s="1"/>
  <c r="L116" i="37"/>
  <c r="N116" i="37" s="1"/>
  <c r="N115" i="37"/>
  <c r="L115" i="37"/>
  <c r="N114" i="37"/>
  <c r="L114" i="37"/>
  <c r="L113" i="37"/>
  <c r="N113" i="37" s="1"/>
  <c r="D113" i="37"/>
  <c r="L112" i="37"/>
  <c r="N112" i="37" s="1"/>
  <c r="L111" i="37"/>
  <c r="N111" i="37" s="1"/>
  <c r="N110" i="37"/>
  <c r="L110" i="37"/>
  <c r="N109" i="37"/>
  <c r="L109" i="37"/>
  <c r="L108" i="37"/>
  <c r="N108" i="37" s="1"/>
  <c r="L107" i="37"/>
  <c r="N107" i="37" s="1"/>
  <c r="N106" i="37"/>
  <c r="L106" i="37"/>
  <c r="N105" i="37"/>
  <c r="L105" i="37"/>
  <c r="L104" i="37"/>
  <c r="N104" i="37" s="1"/>
  <c r="L103" i="37"/>
  <c r="N103" i="37" s="1"/>
  <c r="N102" i="37"/>
  <c r="L102" i="37"/>
  <c r="N101" i="37"/>
  <c r="L101" i="37"/>
  <c r="L100" i="37"/>
  <c r="N100" i="37" s="1"/>
  <c r="L99" i="37"/>
  <c r="N99" i="37" s="1"/>
  <c r="N98" i="37"/>
  <c r="L98" i="37"/>
  <c r="N97" i="37"/>
  <c r="L97" i="37"/>
  <c r="L96" i="37"/>
  <c r="N96" i="37" s="1"/>
  <c r="L95" i="37"/>
  <c r="N95" i="37" s="1"/>
  <c r="N94" i="37"/>
  <c r="L94" i="37"/>
  <c r="N93" i="37"/>
  <c r="L93" i="37"/>
  <c r="L92" i="37"/>
  <c r="N92" i="37" s="1"/>
  <c r="L91" i="37"/>
  <c r="N91" i="37" s="1"/>
  <c r="N90" i="37"/>
  <c r="L90" i="37"/>
  <c r="N89" i="37"/>
  <c r="L89" i="37"/>
  <c r="L88" i="37"/>
  <c r="N88" i="37" s="1"/>
  <c r="F88" i="37"/>
  <c r="L87" i="37"/>
  <c r="N87" i="37" s="1"/>
  <c r="L86" i="37"/>
  <c r="N86" i="37" s="1"/>
  <c r="N85" i="37"/>
  <c r="L85" i="37"/>
  <c r="N84" i="37"/>
  <c r="L84" i="37"/>
  <c r="L83" i="37"/>
  <c r="N83" i="37" s="1"/>
  <c r="L82" i="37"/>
  <c r="N82" i="37" s="1"/>
  <c r="N81" i="37"/>
  <c r="L81" i="37"/>
  <c r="N77" i="37"/>
  <c r="L77" i="37"/>
  <c r="F77" i="37"/>
  <c r="F136" i="37" s="1"/>
  <c r="N76" i="37"/>
  <c r="L76" i="37"/>
  <c r="L75" i="37"/>
  <c r="N75" i="37" s="1"/>
  <c r="L74" i="37"/>
  <c r="N74" i="37" s="1"/>
  <c r="N73" i="37"/>
  <c r="L73" i="37"/>
  <c r="N72" i="37"/>
  <c r="L72" i="37"/>
  <c r="L71" i="37"/>
  <c r="N71" i="37" s="1"/>
  <c r="L70" i="37"/>
  <c r="N70" i="37" s="1"/>
  <c r="N69" i="37"/>
  <c r="L69" i="37"/>
  <c r="N68" i="37"/>
  <c r="L68" i="37"/>
  <c r="L67" i="37"/>
  <c r="N67" i="37" s="1"/>
  <c r="L66" i="37"/>
  <c r="N66" i="37" s="1"/>
  <c r="N65" i="37"/>
  <c r="L65" i="37"/>
  <c r="N64" i="37"/>
  <c r="L64" i="37"/>
  <c r="L63" i="37"/>
  <c r="N63" i="37" s="1"/>
  <c r="L62" i="37"/>
  <c r="N62" i="37" s="1"/>
  <c r="N61" i="37"/>
  <c r="L61" i="37"/>
  <c r="L60" i="37"/>
  <c r="N60" i="37" s="1"/>
  <c r="N59" i="37"/>
  <c r="L59" i="37"/>
  <c r="N58" i="37"/>
  <c r="L58" i="37"/>
  <c r="L57" i="37"/>
  <c r="N57" i="37" s="1"/>
  <c r="L56" i="37"/>
  <c r="N56" i="37" s="1"/>
  <c r="N55" i="37"/>
  <c r="L55" i="37"/>
  <c r="N54" i="37"/>
  <c r="L54" i="37"/>
  <c r="L53" i="37"/>
  <c r="N53" i="37" s="1"/>
  <c r="L52" i="37"/>
  <c r="N52" i="37" s="1"/>
  <c r="N51" i="37"/>
  <c r="L51" i="37"/>
  <c r="L50" i="37"/>
  <c r="N50" i="37" s="1"/>
  <c r="L49" i="37"/>
  <c r="N49" i="37" s="1"/>
  <c r="L48" i="37"/>
  <c r="N48" i="37" s="1"/>
  <c r="N47" i="37"/>
  <c r="L47" i="37"/>
  <c r="N46" i="37"/>
  <c r="L46" i="37"/>
  <c r="L45" i="37"/>
  <c r="N45" i="37" s="1"/>
  <c r="L44" i="37"/>
  <c r="N44" i="37" s="1"/>
  <c r="N40" i="37"/>
  <c r="L40" i="37"/>
  <c r="N39" i="37"/>
  <c r="L39" i="37"/>
  <c r="L38" i="37"/>
  <c r="N38" i="37" s="1"/>
  <c r="L37" i="37"/>
  <c r="N37" i="37" s="1"/>
  <c r="N36" i="37"/>
  <c r="L36" i="37"/>
  <c r="N35" i="37"/>
  <c r="L35" i="37"/>
  <c r="L34" i="37"/>
  <c r="L33" i="37"/>
  <c r="N33" i="37" s="1"/>
  <c r="N32" i="37"/>
  <c r="L32" i="37"/>
  <c r="N31" i="37"/>
  <c r="L31" i="37"/>
  <c r="K26" i="37"/>
  <c r="J26" i="37"/>
  <c r="I26" i="37"/>
  <c r="H26" i="37"/>
  <c r="G26" i="37"/>
  <c r="F26" i="37"/>
  <c r="E26" i="37"/>
  <c r="D26" i="37"/>
  <c r="C26" i="37"/>
  <c r="C27" i="37" s="1"/>
  <c r="N25" i="37"/>
  <c r="L25" i="37"/>
  <c r="L24" i="37"/>
  <c r="N24" i="37" s="1"/>
  <c r="L22" i="37"/>
  <c r="N22" i="37" s="1"/>
  <c r="L21" i="37"/>
  <c r="N21" i="37" s="1"/>
  <c r="L20" i="37"/>
  <c r="N20" i="37" s="1"/>
  <c r="N19" i="37"/>
  <c r="L19" i="37"/>
  <c r="L18" i="37"/>
  <c r="N18" i="37" s="1"/>
  <c r="N15" i="37"/>
  <c r="L15" i="37"/>
  <c r="N13" i="37"/>
  <c r="L13" i="37"/>
  <c r="M12" i="37"/>
  <c r="N12" i="37" s="1"/>
  <c r="L12" i="37"/>
  <c r="L11" i="37"/>
  <c r="N10" i="37"/>
  <c r="L10" i="37"/>
  <c r="O46" i="37" l="1"/>
  <c r="O51" i="37"/>
  <c r="O35" i="37"/>
  <c r="O66" i="37"/>
  <c r="O68" i="37"/>
  <c r="O73" i="37"/>
  <c r="O86" i="37"/>
  <c r="O115" i="37"/>
  <c r="O37" i="37"/>
  <c r="O45" i="37"/>
  <c r="O50" i="37"/>
  <c r="O72" i="37"/>
  <c r="O81" i="37"/>
  <c r="O90" i="37"/>
  <c r="O114" i="37"/>
  <c r="O125" i="37"/>
  <c r="C150" i="37"/>
  <c r="O31" i="37"/>
  <c r="O39" i="37"/>
  <c r="O52" i="37"/>
  <c r="O54" i="37"/>
  <c r="O59" i="37"/>
  <c r="O65" i="37"/>
  <c r="O74" i="37"/>
  <c r="O76" i="37"/>
  <c r="O77" i="37"/>
  <c r="O85" i="37"/>
  <c r="O89" i="37"/>
  <c r="O94" i="37"/>
  <c r="O98" i="37"/>
  <c r="O102" i="37"/>
  <c r="O106" i="37"/>
  <c r="O110" i="37"/>
  <c r="O124" i="37"/>
  <c r="O133" i="37"/>
  <c r="O32" i="37"/>
  <c r="O34" i="37"/>
  <c r="O40" i="37"/>
  <c r="O48" i="37"/>
  <c r="O55" i="37"/>
  <c r="O70" i="37"/>
  <c r="O33" i="37"/>
  <c r="O36" i="37"/>
  <c r="O38" i="37"/>
  <c r="O44" i="37"/>
  <c r="O47" i="37"/>
  <c r="O49" i="37"/>
  <c r="O56" i="37"/>
  <c r="O58" i="37"/>
  <c r="O62" i="37"/>
  <c r="O64" i="37"/>
  <c r="O69" i="37"/>
  <c r="O82" i="37"/>
  <c r="O84" i="37"/>
  <c r="O91" i="37"/>
  <c r="O93" i="37"/>
  <c r="O97" i="37"/>
  <c r="O101" i="37"/>
  <c r="O105" i="37"/>
  <c r="O109" i="37"/>
  <c r="O123" i="37"/>
  <c r="O132" i="37"/>
  <c r="L136" i="37"/>
  <c r="L26" i="37"/>
  <c r="N26" i="37"/>
  <c r="M26" i="37"/>
  <c r="O22" i="37" s="1"/>
  <c r="D136" i="37"/>
  <c r="N34" i="37"/>
  <c r="N136" i="37" s="1"/>
  <c r="O53" i="37"/>
  <c r="O57" i="37"/>
  <c r="O63" i="37"/>
  <c r="O67" i="37"/>
  <c r="O71" i="37"/>
  <c r="O75" i="37"/>
  <c r="O83" i="37"/>
  <c r="O87" i="37"/>
  <c r="O88" i="37"/>
  <c r="O92" i="37"/>
  <c r="O96" i="37"/>
  <c r="O100" i="37"/>
  <c r="O104" i="37"/>
  <c r="O108" i="37"/>
  <c r="O112" i="37"/>
  <c r="O113" i="37"/>
  <c r="O117" i="37"/>
  <c r="O122" i="37"/>
  <c r="O128" i="37"/>
  <c r="O135" i="37"/>
  <c r="O95" i="37"/>
  <c r="O99" i="37"/>
  <c r="O103" i="37"/>
  <c r="O107" i="37"/>
  <c r="O111" i="37"/>
  <c r="O116" i="37"/>
  <c r="O126" i="37"/>
  <c r="O127" i="37"/>
  <c r="C158" i="36"/>
  <c r="M20" i="36"/>
  <c r="M18" i="36"/>
  <c r="M15" i="36"/>
  <c r="M10" i="36"/>
  <c r="O12" i="37" l="1"/>
  <c r="C148" i="37"/>
  <c r="C151" i="37" s="1"/>
  <c r="C163" i="37" s="1"/>
  <c r="O21" i="37"/>
  <c r="O18" i="37"/>
  <c r="O24" i="37"/>
  <c r="O13" i="37"/>
  <c r="O10" i="37"/>
  <c r="O20" i="37"/>
  <c r="O19" i="37"/>
  <c r="O25" i="37"/>
  <c r="O15" i="37"/>
  <c r="N73" i="36"/>
  <c r="C160" i="36"/>
  <c r="C147" i="36"/>
  <c r="C145" i="36"/>
  <c r="C144" i="36"/>
  <c r="K136" i="36"/>
  <c r="J136" i="36"/>
  <c r="I136" i="36"/>
  <c r="H136" i="36"/>
  <c r="G136" i="36"/>
  <c r="E136" i="36"/>
  <c r="C136" i="36"/>
  <c r="L135" i="36"/>
  <c r="N135" i="36" s="1"/>
  <c r="N134" i="36"/>
  <c r="L134" i="36"/>
  <c r="N133" i="36"/>
  <c r="L133" i="36"/>
  <c r="N132" i="36"/>
  <c r="L132" i="36"/>
  <c r="L128" i="36"/>
  <c r="N128" i="36" s="1"/>
  <c r="D127" i="36"/>
  <c r="L127" i="36" s="1"/>
  <c r="N127" i="36" s="1"/>
  <c r="N126" i="36"/>
  <c r="L126" i="36"/>
  <c r="N125" i="36"/>
  <c r="L125" i="36"/>
  <c r="N124" i="36"/>
  <c r="M124" i="36"/>
  <c r="L124" i="36"/>
  <c r="N123" i="36"/>
  <c r="L123" i="36"/>
  <c r="L122" i="36"/>
  <c r="N122" i="36" s="1"/>
  <c r="F122" i="36"/>
  <c r="L117" i="36"/>
  <c r="N117" i="36" s="1"/>
  <c r="N116" i="36"/>
  <c r="L116" i="36"/>
  <c r="N115" i="36"/>
  <c r="L115" i="36"/>
  <c r="N114" i="36"/>
  <c r="L114" i="36"/>
  <c r="L113" i="36"/>
  <c r="N113" i="36" s="1"/>
  <c r="D113" i="36"/>
  <c r="L112" i="36"/>
  <c r="N112" i="36" s="1"/>
  <c r="N111" i="36"/>
  <c r="L111" i="36"/>
  <c r="N110" i="36"/>
  <c r="L110" i="36"/>
  <c r="N109" i="36"/>
  <c r="L109" i="36"/>
  <c r="L108" i="36"/>
  <c r="N108" i="36" s="1"/>
  <c r="N107" i="36"/>
  <c r="L107" i="36"/>
  <c r="N106" i="36"/>
  <c r="L106" i="36"/>
  <c r="N105" i="36"/>
  <c r="L105" i="36"/>
  <c r="L104" i="36"/>
  <c r="N104" i="36" s="1"/>
  <c r="N103" i="36"/>
  <c r="L103" i="36"/>
  <c r="N102" i="36"/>
  <c r="L102" i="36"/>
  <c r="N101" i="36"/>
  <c r="L101" i="36"/>
  <c r="L100" i="36"/>
  <c r="N100" i="36" s="1"/>
  <c r="N99" i="36"/>
  <c r="L99" i="36"/>
  <c r="N98" i="36"/>
  <c r="L98" i="36"/>
  <c r="N97" i="36"/>
  <c r="L97" i="36"/>
  <c r="L96" i="36"/>
  <c r="N96" i="36" s="1"/>
  <c r="N95" i="36"/>
  <c r="L95" i="36"/>
  <c r="N94" i="36"/>
  <c r="L94" i="36"/>
  <c r="N93" i="36"/>
  <c r="L93" i="36"/>
  <c r="L92" i="36"/>
  <c r="N92" i="36" s="1"/>
  <c r="N91" i="36"/>
  <c r="L91" i="36"/>
  <c r="N90" i="36"/>
  <c r="L90" i="36"/>
  <c r="N89" i="36"/>
  <c r="L89" i="36"/>
  <c r="L88" i="36"/>
  <c r="N88" i="36" s="1"/>
  <c r="F88" i="36"/>
  <c r="L87" i="36"/>
  <c r="N87" i="36" s="1"/>
  <c r="N86" i="36"/>
  <c r="L86" i="36"/>
  <c r="N85" i="36"/>
  <c r="L85" i="36"/>
  <c r="N84" i="36"/>
  <c r="L84" i="36"/>
  <c r="L83" i="36"/>
  <c r="N83" i="36" s="1"/>
  <c r="N82" i="36"/>
  <c r="L82" i="36"/>
  <c r="N81" i="36"/>
  <c r="L81" i="36"/>
  <c r="N77" i="36"/>
  <c r="L77" i="36"/>
  <c r="F77" i="36"/>
  <c r="F136" i="36" s="1"/>
  <c r="N76" i="36"/>
  <c r="L76" i="36"/>
  <c r="L75" i="36"/>
  <c r="N75" i="36" s="1"/>
  <c r="N74" i="36"/>
  <c r="L74" i="36"/>
  <c r="L73" i="36"/>
  <c r="N72" i="36"/>
  <c r="L72" i="36"/>
  <c r="L71" i="36"/>
  <c r="N71" i="36" s="1"/>
  <c r="N70" i="36"/>
  <c r="L70" i="36"/>
  <c r="N69" i="36"/>
  <c r="L69" i="36"/>
  <c r="N68" i="36"/>
  <c r="L68" i="36"/>
  <c r="L67" i="36"/>
  <c r="N67" i="36" s="1"/>
  <c r="N66" i="36"/>
  <c r="L66" i="36"/>
  <c r="N65" i="36"/>
  <c r="L65" i="36"/>
  <c r="N64" i="36"/>
  <c r="L64" i="36"/>
  <c r="L63" i="36"/>
  <c r="N63" i="36" s="1"/>
  <c r="N62" i="36"/>
  <c r="L62" i="36"/>
  <c r="N61" i="36"/>
  <c r="L61" i="36"/>
  <c r="N60" i="36"/>
  <c r="L60" i="36"/>
  <c r="N59" i="36"/>
  <c r="L59" i="36"/>
  <c r="N58" i="36"/>
  <c r="L58" i="36"/>
  <c r="L57" i="36"/>
  <c r="N57" i="36" s="1"/>
  <c r="N56" i="36"/>
  <c r="L56" i="36"/>
  <c r="N55" i="36"/>
  <c r="L55" i="36"/>
  <c r="N54" i="36"/>
  <c r="L54" i="36"/>
  <c r="L53" i="36"/>
  <c r="N53" i="36" s="1"/>
  <c r="N52" i="36"/>
  <c r="L52" i="36"/>
  <c r="N51" i="36"/>
  <c r="L51" i="36"/>
  <c r="N50" i="36"/>
  <c r="L50" i="36"/>
  <c r="L49" i="36"/>
  <c r="N49" i="36" s="1"/>
  <c r="N48" i="36"/>
  <c r="L48" i="36"/>
  <c r="N47" i="36"/>
  <c r="L47" i="36"/>
  <c r="N46" i="36"/>
  <c r="L46" i="36"/>
  <c r="L45" i="36"/>
  <c r="N45" i="36" s="1"/>
  <c r="N44" i="36"/>
  <c r="L44" i="36"/>
  <c r="N40" i="36"/>
  <c r="L40" i="36"/>
  <c r="N39" i="36"/>
  <c r="L39" i="36"/>
  <c r="L38" i="36"/>
  <c r="N38" i="36" s="1"/>
  <c r="N37" i="36"/>
  <c r="L37" i="36"/>
  <c r="N36" i="36"/>
  <c r="L36" i="36"/>
  <c r="N35" i="36"/>
  <c r="L35" i="36"/>
  <c r="L34" i="36"/>
  <c r="N34" i="36" s="1"/>
  <c r="N33" i="36"/>
  <c r="L33" i="36"/>
  <c r="N32" i="36"/>
  <c r="L32" i="36"/>
  <c r="N31" i="36"/>
  <c r="L31" i="36"/>
  <c r="K26" i="36"/>
  <c r="J26" i="36"/>
  <c r="I26" i="36"/>
  <c r="H26" i="36"/>
  <c r="G26" i="36"/>
  <c r="F26" i="36"/>
  <c r="E26" i="36"/>
  <c r="D26" i="36"/>
  <c r="C26" i="36"/>
  <c r="C27" i="36" s="1"/>
  <c r="N25" i="36"/>
  <c r="L25" i="36"/>
  <c r="L24" i="36"/>
  <c r="N24" i="36" s="1"/>
  <c r="M22" i="36"/>
  <c r="L22" i="36"/>
  <c r="N22" i="36" s="1"/>
  <c r="N21" i="36"/>
  <c r="L21" i="36"/>
  <c r="N20" i="36"/>
  <c r="L20" i="36"/>
  <c r="N19" i="36"/>
  <c r="L19" i="36"/>
  <c r="N18" i="36"/>
  <c r="L18" i="36"/>
  <c r="N15" i="36"/>
  <c r="L15" i="36"/>
  <c r="N13" i="36"/>
  <c r="L13" i="36"/>
  <c r="M12" i="36"/>
  <c r="L12" i="36"/>
  <c r="L26" i="36" s="1"/>
  <c r="L11" i="36"/>
  <c r="N10" i="36"/>
  <c r="L10" i="36"/>
  <c r="M136" i="36" l="1"/>
  <c r="C150" i="36" s="1"/>
  <c r="L136" i="36"/>
  <c r="N136" i="36"/>
  <c r="M26" i="36"/>
  <c r="O12" i="36" s="1"/>
  <c r="D136" i="36"/>
  <c r="N12" i="36"/>
  <c r="N26" i="36" s="1"/>
  <c r="C147" i="35"/>
  <c r="M22" i="35"/>
  <c r="M18" i="35"/>
  <c r="M15" i="35"/>
  <c r="M10" i="35"/>
  <c r="C157" i="35"/>
  <c r="O32" i="36" l="1"/>
  <c r="O46" i="36"/>
  <c r="O109" i="36"/>
  <c r="O67" i="36"/>
  <c r="O37" i="36"/>
  <c r="O47" i="36"/>
  <c r="O50" i="36"/>
  <c r="O77" i="36"/>
  <c r="O36" i="36"/>
  <c r="O90" i="36"/>
  <c r="O71" i="36"/>
  <c r="O113" i="36"/>
  <c r="O52" i="36"/>
  <c r="O91" i="36"/>
  <c r="O102" i="36"/>
  <c r="O31" i="36"/>
  <c r="O68" i="36"/>
  <c r="O101" i="36"/>
  <c r="O55" i="36"/>
  <c r="O53" i="36"/>
  <c r="O92" i="36"/>
  <c r="O135" i="36"/>
  <c r="O74" i="36"/>
  <c r="O111" i="36"/>
  <c r="O124" i="36"/>
  <c r="O106" i="36"/>
  <c r="O76" i="36"/>
  <c r="O81" i="36"/>
  <c r="O100" i="36"/>
  <c r="O86" i="36"/>
  <c r="O127" i="36"/>
  <c r="O125" i="36"/>
  <c r="O94" i="36"/>
  <c r="O133" i="36"/>
  <c r="O58" i="36"/>
  <c r="O93" i="36"/>
  <c r="O51" i="36"/>
  <c r="O38" i="36"/>
  <c r="O88" i="36"/>
  <c r="O117" i="36"/>
  <c r="O56" i="36"/>
  <c r="O107" i="36"/>
  <c r="O69" i="36"/>
  <c r="O110" i="36"/>
  <c r="O39" i="36"/>
  <c r="O64" i="36"/>
  <c r="O84" i="36"/>
  <c r="O114" i="36"/>
  <c r="O73" i="36"/>
  <c r="O49" i="36"/>
  <c r="O75" i="36"/>
  <c r="O108" i="36"/>
  <c r="O33" i="36"/>
  <c r="O66" i="36"/>
  <c r="O103" i="36"/>
  <c r="O134" i="36"/>
  <c r="O97" i="36"/>
  <c r="O123" i="36"/>
  <c r="O65" i="36"/>
  <c r="O34" i="36"/>
  <c r="O57" i="36"/>
  <c r="O87" i="36"/>
  <c r="O104" i="36"/>
  <c r="O122" i="36"/>
  <c r="O48" i="36"/>
  <c r="O70" i="36"/>
  <c r="O95" i="36"/>
  <c r="O126" i="36"/>
  <c r="O40" i="36"/>
  <c r="O98" i="36"/>
  <c r="O115" i="36"/>
  <c r="O35" i="36"/>
  <c r="O54" i="36"/>
  <c r="O72" i="36"/>
  <c r="O89" i="36"/>
  <c r="O105" i="36"/>
  <c r="O132" i="36"/>
  <c r="O59" i="36"/>
  <c r="O85" i="36"/>
  <c r="O45" i="36"/>
  <c r="O63" i="36"/>
  <c r="O83" i="36"/>
  <c r="O96" i="36"/>
  <c r="O112" i="36"/>
  <c r="O128" i="36"/>
  <c r="O44" i="36"/>
  <c r="O62" i="36"/>
  <c r="O82" i="36"/>
  <c r="O99" i="36"/>
  <c r="O116" i="36"/>
  <c r="O10" i="36"/>
  <c r="O22" i="36"/>
  <c r="O21" i="36"/>
  <c r="C148" i="36"/>
  <c r="C151" i="36" s="1"/>
  <c r="C163" i="36" s="1"/>
  <c r="O24" i="36"/>
  <c r="O25" i="36"/>
  <c r="O13" i="36"/>
  <c r="O20" i="36"/>
  <c r="O19" i="36"/>
  <c r="O18" i="36"/>
  <c r="O15" i="36"/>
  <c r="C159" i="35"/>
  <c r="C145" i="35"/>
  <c r="C144" i="35"/>
  <c r="K136" i="35"/>
  <c r="J136" i="35"/>
  <c r="I136" i="35"/>
  <c r="H136" i="35"/>
  <c r="G136" i="35"/>
  <c r="E136" i="35"/>
  <c r="C136" i="35"/>
  <c r="N135" i="35"/>
  <c r="L135" i="35"/>
  <c r="L134" i="35"/>
  <c r="N134" i="35" s="1"/>
  <c r="N133" i="35"/>
  <c r="L133" i="35"/>
  <c r="L132" i="35"/>
  <c r="N132" i="35" s="1"/>
  <c r="N128" i="35"/>
  <c r="L128" i="35"/>
  <c r="L127" i="35"/>
  <c r="N127" i="35" s="1"/>
  <c r="D127" i="35"/>
  <c r="N126" i="35"/>
  <c r="L126" i="35"/>
  <c r="L125" i="35"/>
  <c r="N125" i="35" s="1"/>
  <c r="M124" i="35"/>
  <c r="L124" i="35"/>
  <c r="N124" i="35" s="1"/>
  <c r="N123" i="35"/>
  <c r="L123" i="35"/>
  <c r="L122" i="35"/>
  <c r="N122" i="35" s="1"/>
  <c r="F122" i="35"/>
  <c r="L117" i="35"/>
  <c r="N117" i="35" s="1"/>
  <c r="L116" i="35"/>
  <c r="N116" i="35" s="1"/>
  <c r="L115" i="35"/>
  <c r="N115" i="35" s="1"/>
  <c r="N114" i="35"/>
  <c r="L114" i="35"/>
  <c r="L113" i="35"/>
  <c r="N113" i="35" s="1"/>
  <c r="D113" i="35"/>
  <c r="D136" i="35" s="1"/>
  <c r="L112" i="35"/>
  <c r="N112" i="35" s="1"/>
  <c r="N111" i="35"/>
  <c r="L111" i="35"/>
  <c r="L110" i="35"/>
  <c r="N110" i="35" s="1"/>
  <c r="N109" i="35"/>
  <c r="L109" i="35"/>
  <c r="L108" i="35"/>
  <c r="N108" i="35" s="1"/>
  <c r="N107" i="35"/>
  <c r="L107" i="35"/>
  <c r="L106" i="35"/>
  <c r="N106" i="35" s="1"/>
  <c r="N105" i="35"/>
  <c r="L105" i="35"/>
  <c r="L104" i="35"/>
  <c r="N104" i="35" s="1"/>
  <c r="N103" i="35"/>
  <c r="L103" i="35"/>
  <c r="L102" i="35"/>
  <c r="N102" i="35" s="1"/>
  <c r="N101" i="35"/>
  <c r="L101" i="35"/>
  <c r="L100" i="35"/>
  <c r="N100" i="35" s="1"/>
  <c r="N99" i="35"/>
  <c r="L99" i="35"/>
  <c r="L98" i="35"/>
  <c r="N98" i="35" s="1"/>
  <c r="N97" i="35"/>
  <c r="L97" i="35"/>
  <c r="L96" i="35"/>
  <c r="N96" i="35" s="1"/>
  <c r="N95" i="35"/>
  <c r="L95" i="35"/>
  <c r="L94" i="35"/>
  <c r="N94" i="35" s="1"/>
  <c r="N93" i="35"/>
  <c r="L93" i="35"/>
  <c r="L92" i="35"/>
  <c r="N92" i="35" s="1"/>
  <c r="N91" i="35"/>
  <c r="L91" i="35"/>
  <c r="L90" i="35"/>
  <c r="N90" i="35" s="1"/>
  <c r="N89" i="35"/>
  <c r="L89" i="35"/>
  <c r="L88" i="35"/>
  <c r="N88" i="35" s="1"/>
  <c r="F88" i="35"/>
  <c r="L87" i="35"/>
  <c r="N87" i="35" s="1"/>
  <c r="N86" i="35"/>
  <c r="L86" i="35"/>
  <c r="L85" i="35"/>
  <c r="N85" i="35" s="1"/>
  <c r="N84" i="35"/>
  <c r="L84" i="35"/>
  <c r="L83" i="35"/>
  <c r="N83" i="35" s="1"/>
  <c r="N82" i="35"/>
  <c r="L82" i="35"/>
  <c r="L81" i="35"/>
  <c r="N81" i="35" s="1"/>
  <c r="F77" i="35"/>
  <c r="F136" i="35" s="1"/>
  <c r="L76" i="35"/>
  <c r="N76" i="35" s="1"/>
  <c r="N75" i="35"/>
  <c r="L75" i="35"/>
  <c r="L74" i="35"/>
  <c r="N74" i="35" s="1"/>
  <c r="N73" i="35"/>
  <c r="L73" i="35"/>
  <c r="L72" i="35"/>
  <c r="N72" i="35" s="1"/>
  <c r="N71" i="35"/>
  <c r="L71" i="35"/>
  <c r="L70" i="35"/>
  <c r="N70" i="35" s="1"/>
  <c r="N69" i="35"/>
  <c r="L69" i="35"/>
  <c r="L68" i="35"/>
  <c r="N68" i="35" s="1"/>
  <c r="N67" i="35"/>
  <c r="L67" i="35"/>
  <c r="L66" i="35"/>
  <c r="N66" i="35" s="1"/>
  <c r="N65" i="35"/>
  <c r="L65" i="35"/>
  <c r="L64" i="35"/>
  <c r="N64" i="35" s="1"/>
  <c r="N63" i="35"/>
  <c r="L63" i="35"/>
  <c r="L62" i="35"/>
  <c r="N62" i="35" s="1"/>
  <c r="L61" i="35"/>
  <c r="N61" i="35" s="1"/>
  <c r="L60" i="35"/>
  <c r="N60" i="35" s="1"/>
  <c r="N59" i="35"/>
  <c r="L59" i="35"/>
  <c r="L58" i="35"/>
  <c r="N58" i="35" s="1"/>
  <c r="N57" i="35"/>
  <c r="L57" i="35"/>
  <c r="L56" i="35"/>
  <c r="N56" i="35" s="1"/>
  <c r="N55" i="35"/>
  <c r="L55" i="35"/>
  <c r="L54" i="35"/>
  <c r="N54" i="35" s="1"/>
  <c r="N53" i="35"/>
  <c r="L53" i="35"/>
  <c r="L52" i="35"/>
  <c r="N52" i="35" s="1"/>
  <c r="N51" i="35"/>
  <c r="L51" i="35"/>
  <c r="L50" i="35"/>
  <c r="N50" i="35" s="1"/>
  <c r="N49" i="35"/>
  <c r="L49" i="35"/>
  <c r="L48" i="35"/>
  <c r="N48" i="35" s="1"/>
  <c r="N47" i="35"/>
  <c r="L47" i="35"/>
  <c r="L46" i="35"/>
  <c r="N46" i="35" s="1"/>
  <c r="N45" i="35"/>
  <c r="L45" i="35"/>
  <c r="L44" i="35"/>
  <c r="N44" i="35" s="1"/>
  <c r="L40" i="35"/>
  <c r="N40" i="35" s="1"/>
  <c r="L39" i="35"/>
  <c r="N39" i="35" s="1"/>
  <c r="N38" i="35"/>
  <c r="L38" i="35"/>
  <c r="L37" i="35"/>
  <c r="N37" i="35" s="1"/>
  <c r="N36" i="35"/>
  <c r="L36" i="35"/>
  <c r="L35" i="35"/>
  <c r="N35" i="35" s="1"/>
  <c r="N34" i="35"/>
  <c r="L34" i="35"/>
  <c r="L33" i="35"/>
  <c r="N33" i="35" s="1"/>
  <c r="N32" i="35"/>
  <c r="L32" i="35"/>
  <c r="L31" i="35"/>
  <c r="K26" i="35"/>
  <c r="J26" i="35"/>
  <c r="I26" i="35"/>
  <c r="H26" i="35"/>
  <c r="G26" i="35"/>
  <c r="F26" i="35"/>
  <c r="E26" i="35"/>
  <c r="D26" i="35"/>
  <c r="C26" i="35"/>
  <c r="C27" i="35" s="1"/>
  <c r="L25" i="35"/>
  <c r="N25" i="35" s="1"/>
  <c r="N24" i="35"/>
  <c r="L24" i="35"/>
  <c r="L22" i="35"/>
  <c r="N22" i="35" s="1"/>
  <c r="L21" i="35"/>
  <c r="N21" i="35" s="1"/>
  <c r="N20" i="35"/>
  <c r="M20" i="35"/>
  <c r="L20" i="35"/>
  <c r="N19" i="35"/>
  <c r="L19" i="35"/>
  <c r="L18" i="35"/>
  <c r="N18" i="35" s="1"/>
  <c r="L15" i="35"/>
  <c r="N15" i="35" s="1"/>
  <c r="L13" i="35"/>
  <c r="N13" i="35" s="1"/>
  <c r="M12" i="35"/>
  <c r="L12" i="35"/>
  <c r="N12" i="35" s="1"/>
  <c r="L11" i="35"/>
  <c r="L10" i="35"/>
  <c r="N10" i="35" s="1"/>
  <c r="N26" i="35" l="1"/>
  <c r="L26" i="35"/>
  <c r="M26" i="35"/>
  <c r="O15" i="35" s="1"/>
  <c r="N31" i="35"/>
  <c r="L77" i="35"/>
  <c r="N77" i="35" s="1"/>
  <c r="M136" i="35"/>
  <c r="M138" i="36" s="1"/>
  <c r="C149" i="34"/>
  <c r="M15" i="34"/>
  <c r="C145" i="34"/>
  <c r="C157" i="34"/>
  <c r="O126" i="35" l="1"/>
  <c r="C149" i="35"/>
  <c r="O135" i="35"/>
  <c r="O128" i="35"/>
  <c r="O123" i="35"/>
  <c r="O114" i="35"/>
  <c r="O109" i="35"/>
  <c r="O105" i="35"/>
  <c r="O101" i="35"/>
  <c r="O97" i="35"/>
  <c r="O93" i="35"/>
  <c r="O89" i="35"/>
  <c r="O84" i="35"/>
  <c r="O77" i="35"/>
  <c r="O75" i="35"/>
  <c r="O71" i="35"/>
  <c r="O67" i="35"/>
  <c r="O63" i="35"/>
  <c r="O57" i="35"/>
  <c r="O53" i="35"/>
  <c r="O49" i="35"/>
  <c r="O45" i="35"/>
  <c r="O38" i="35"/>
  <c r="O34" i="35"/>
  <c r="O35" i="35"/>
  <c r="O31" i="35"/>
  <c r="O112" i="35"/>
  <c r="O104" i="35"/>
  <c r="O88" i="35"/>
  <c r="O70" i="35"/>
  <c r="O52" i="35"/>
  <c r="O132" i="35"/>
  <c r="O125" i="35"/>
  <c r="O115" i="35"/>
  <c r="O110" i="35"/>
  <c r="O106" i="35"/>
  <c r="O102" i="35"/>
  <c r="O98" i="35"/>
  <c r="O94" i="35"/>
  <c r="O90" i="35"/>
  <c r="O85" i="35"/>
  <c r="O81" i="35"/>
  <c r="O72" i="35"/>
  <c r="O68" i="35"/>
  <c r="O64" i="35"/>
  <c r="O58" i="35"/>
  <c r="O54" i="35"/>
  <c r="O50" i="35"/>
  <c r="O46" i="35"/>
  <c r="O39" i="35"/>
  <c r="O134" i="35"/>
  <c r="O96" i="35"/>
  <c r="O87" i="35"/>
  <c r="O74" i="35"/>
  <c r="O66" i="35"/>
  <c r="O56" i="35"/>
  <c r="O48" i="35"/>
  <c r="O33" i="35"/>
  <c r="O133" i="35"/>
  <c r="O116" i="35"/>
  <c r="O111" i="35"/>
  <c r="O107" i="35"/>
  <c r="O103" i="35"/>
  <c r="O99" i="35"/>
  <c r="O95" i="35"/>
  <c r="O91" i="35"/>
  <c r="O86" i="35"/>
  <c r="O82" i="35"/>
  <c r="O73" i="35"/>
  <c r="O69" i="35"/>
  <c r="O65" i="35"/>
  <c r="O59" i="35"/>
  <c r="O55" i="35"/>
  <c r="O51" i="35"/>
  <c r="O47" i="35"/>
  <c r="O40" i="35"/>
  <c r="O36" i="35"/>
  <c r="O32" i="35"/>
  <c r="O127" i="35"/>
  <c r="O122" i="35"/>
  <c r="O117" i="35"/>
  <c r="O113" i="35"/>
  <c r="O108" i="35"/>
  <c r="O100" i="35"/>
  <c r="O92" i="35"/>
  <c r="O83" i="35"/>
  <c r="O62" i="35"/>
  <c r="O44" i="35"/>
  <c r="O37" i="35"/>
  <c r="O24" i="35"/>
  <c r="O12" i="35"/>
  <c r="O25" i="35"/>
  <c r="C148" i="35"/>
  <c r="O13" i="35"/>
  <c r="O22" i="35"/>
  <c r="O20" i="35"/>
  <c r="O19" i="35"/>
  <c r="O21" i="35"/>
  <c r="O76" i="35"/>
  <c r="O10" i="35"/>
  <c r="O124" i="35"/>
  <c r="N136" i="35"/>
  <c r="L136" i="35"/>
  <c r="O18" i="35"/>
  <c r="M76" i="34"/>
  <c r="M18" i="34"/>
  <c r="M12" i="34"/>
  <c r="M10" i="34"/>
  <c r="C159" i="34"/>
  <c r="C144" i="34"/>
  <c r="K136" i="34"/>
  <c r="J136" i="34"/>
  <c r="I136" i="34"/>
  <c r="H136" i="34"/>
  <c r="G136" i="34"/>
  <c r="E136" i="34"/>
  <c r="C136" i="34"/>
  <c r="L135" i="34"/>
  <c r="N135" i="34" s="1"/>
  <c r="N134" i="34"/>
  <c r="L134" i="34"/>
  <c r="L133" i="34"/>
  <c r="N133" i="34" s="1"/>
  <c r="L132" i="34"/>
  <c r="N132" i="34" s="1"/>
  <c r="L128" i="34"/>
  <c r="N128" i="34" s="1"/>
  <c r="D127" i="34"/>
  <c r="L127" i="34" s="1"/>
  <c r="N127" i="34" s="1"/>
  <c r="L126" i="34"/>
  <c r="N126" i="34" s="1"/>
  <c r="L125" i="34"/>
  <c r="N125" i="34" s="1"/>
  <c r="M124" i="34"/>
  <c r="M136" i="34" s="1"/>
  <c r="O105" i="34" s="1"/>
  <c r="L124" i="34"/>
  <c r="N124" i="34" s="1"/>
  <c r="L123" i="34"/>
  <c r="N123" i="34" s="1"/>
  <c r="N122" i="34"/>
  <c r="F122" i="34"/>
  <c r="L122" i="34" s="1"/>
  <c r="N117" i="34"/>
  <c r="L117" i="34"/>
  <c r="L116" i="34"/>
  <c r="N116" i="34" s="1"/>
  <c r="L115" i="34"/>
  <c r="N115" i="34" s="1"/>
  <c r="L114" i="34"/>
  <c r="N114" i="34" s="1"/>
  <c r="N113" i="34"/>
  <c r="D113" i="34"/>
  <c r="L113" i="34" s="1"/>
  <c r="N112" i="34"/>
  <c r="L112" i="34"/>
  <c r="L111" i="34"/>
  <c r="N111" i="34" s="1"/>
  <c r="L110" i="34"/>
  <c r="N110" i="34" s="1"/>
  <c r="L109" i="34"/>
  <c r="N109" i="34" s="1"/>
  <c r="N108" i="34"/>
  <c r="L108" i="34"/>
  <c r="L107" i="34"/>
  <c r="N107" i="34" s="1"/>
  <c r="L106" i="34"/>
  <c r="N106" i="34" s="1"/>
  <c r="L105" i="34"/>
  <c r="N105" i="34" s="1"/>
  <c r="N104" i="34"/>
  <c r="L104" i="34"/>
  <c r="L103" i="34"/>
  <c r="N103" i="34" s="1"/>
  <c r="L102" i="34"/>
  <c r="N102" i="34" s="1"/>
  <c r="L101" i="34"/>
  <c r="N101" i="34" s="1"/>
  <c r="N100" i="34"/>
  <c r="L100" i="34"/>
  <c r="L99" i="34"/>
  <c r="N99" i="34" s="1"/>
  <c r="L98" i="34"/>
  <c r="N98" i="34" s="1"/>
  <c r="L97" i="34"/>
  <c r="N97" i="34" s="1"/>
  <c r="N96" i="34"/>
  <c r="L96" i="34"/>
  <c r="L95" i="34"/>
  <c r="N95" i="34" s="1"/>
  <c r="L94" i="34"/>
  <c r="N94" i="34" s="1"/>
  <c r="L93" i="34"/>
  <c r="N93" i="34" s="1"/>
  <c r="N92" i="34"/>
  <c r="L92" i="34"/>
  <c r="L91" i="34"/>
  <c r="N91" i="34" s="1"/>
  <c r="L90" i="34"/>
  <c r="N90" i="34" s="1"/>
  <c r="L89" i="34"/>
  <c r="N89" i="34" s="1"/>
  <c r="F88" i="34"/>
  <c r="L88" i="34" s="1"/>
  <c r="N88" i="34" s="1"/>
  <c r="N87" i="34"/>
  <c r="L87" i="34"/>
  <c r="N86" i="34"/>
  <c r="L86" i="34"/>
  <c r="L85" i="34"/>
  <c r="N85" i="34" s="1"/>
  <c r="L84" i="34"/>
  <c r="N84" i="34" s="1"/>
  <c r="N83" i="34"/>
  <c r="L83" i="34"/>
  <c r="N82" i="34"/>
  <c r="L82" i="34"/>
  <c r="L81" i="34"/>
  <c r="N81" i="34" s="1"/>
  <c r="F77" i="34"/>
  <c r="L77" i="34" s="1"/>
  <c r="N77" i="34" s="1"/>
  <c r="L76" i="34"/>
  <c r="N75" i="34"/>
  <c r="L75" i="34"/>
  <c r="N74" i="34"/>
  <c r="L74" i="34"/>
  <c r="L73" i="34"/>
  <c r="N73" i="34" s="1"/>
  <c r="L72" i="34"/>
  <c r="N72" i="34" s="1"/>
  <c r="N71" i="34"/>
  <c r="L71" i="34"/>
  <c r="N70" i="34"/>
  <c r="L70" i="34"/>
  <c r="L69" i="34"/>
  <c r="N69" i="34" s="1"/>
  <c r="L68" i="34"/>
  <c r="N68" i="34" s="1"/>
  <c r="N67" i="34"/>
  <c r="L67" i="34"/>
  <c r="N66" i="34"/>
  <c r="L66" i="34"/>
  <c r="L65" i="34"/>
  <c r="N65" i="34" s="1"/>
  <c r="L64" i="34"/>
  <c r="N64" i="34" s="1"/>
  <c r="N63" i="34"/>
  <c r="L63" i="34"/>
  <c r="N62" i="34"/>
  <c r="L62" i="34"/>
  <c r="L61" i="34"/>
  <c r="N61" i="34" s="1"/>
  <c r="L60" i="34"/>
  <c r="N60" i="34" s="1"/>
  <c r="L59" i="34"/>
  <c r="N59" i="34" s="1"/>
  <c r="L58" i="34"/>
  <c r="N58" i="34" s="1"/>
  <c r="N57" i="34"/>
  <c r="L57" i="34"/>
  <c r="L56" i="34"/>
  <c r="N56" i="34" s="1"/>
  <c r="L55" i="34"/>
  <c r="N55" i="34" s="1"/>
  <c r="L54" i="34"/>
  <c r="N54" i="34" s="1"/>
  <c r="N53" i="34"/>
  <c r="L53" i="34"/>
  <c r="L52" i="34"/>
  <c r="N52" i="34" s="1"/>
  <c r="L51" i="34"/>
  <c r="N51" i="34" s="1"/>
  <c r="L50" i="34"/>
  <c r="N50" i="34" s="1"/>
  <c r="N49" i="34"/>
  <c r="L49" i="34"/>
  <c r="L48" i="34"/>
  <c r="N48" i="34" s="1"/>
  <c r="L47" i="34"/>
  <c r="N47" i="34" s="1"/>
  <c r="L46" i="34"/>
  <c r="N46" i="34" s="1"/>
  <c r="N45" i="34"/>
  <c r="L45" i="34"/>
  <c r="L44" i="34"/>
  <c r="N44" i="34" s="1"/>
  <c r="L40" i="34"/>
  <c r="N40" i="34" s="1"/>
  <c r="L39" i="34"/>
  <c r="N39" i="34" s="1"/>
  <c r="N38" i="34"/>
  <c r="L38" i="34"/>
  <c r="L37" i="34"/>
  <c r="N37" i="34" s="1"/>
  <c r="L36" i="34"/>
  <c r="N36" i="34" s="1"/>
  <c r="L35" i="34"/>
  <c r="N35" i="34" s="1"/>
  <c r="N34" i="34"/>
  <c r="L34" i="34"/>
  <c r="L33" i="34"/>
  <c r="N33" i="34" s="1"/>
  <c r="L32" i="34"/>
  <c r="N32" i="34" s="1"/>
  <c r="L31" i="34"/>
  <c r="N31" i="34" s="1"/>
  <c r="C27" i="34"/>
  <c r="K26" i="34"/>
  <c r="J26" i="34"/>
  <c r="I26" i="34"/>
  <c r="H26" i="34"/>
  <c r="G26" i="34"/>
  <c r="F26" i="34"/>
  <c r="E26" i="34"/>
  <c r="D26" i="34"/>
  <c r="C26" i="34"/>
  <c r="L25" i="34"/>
  <c r="N25" i="34" s="1"/>
  <c r="N24" i="34"/>
  <c r="L24" i="34"/>
  <c r="N22" i="34"/>
  <c r="M22" i="34"/>
  <c r="L22" i="34"/>
  <c r="L21" i="34"/>
  <c r="N21" i="34" s="1"/>
  <c r="M20" i="34"/>
  <c r="L20" i="34"/>
  <c r="N20" i="34" s="1"/>
  <c r="L19" i="34"/>
  <c r="N19" i="34" s="1"/>
  <c r="L18" i="34"/>
  <c r="N18" i="34" s="1"/>
  <c r="L15" i="34"/>
  <c r="N15" i="34" s="1"/>
  <c r="L13" i="34"/>
  <c r="N13" i="34" s="1"/>
  <c r="N12" i="34"/>
  <c r="L12" i="34"/>
  <c r="L11" i="34"/>
  <c r="M26" i="34"/>
  <c r="O18" i="34" s="1"/>
  <c r="L10" i="34"/>
  <c r="C150" i="35" l="1"/>
  <c r="C162" i="35" s="1"/>
  <c r="N76" i="34"/>
  <c r="N136" i="34" s="1"/>
  <c r="O54" i="34"/>
  <c r="O97" i="34"/>
  <c r="O109" i="34"/>
  <c r="O31" i="34"/>
  <c r="O50" i="34"/>
  <c r="O64" i="34"/>
  <c r="O45" i="34"/>
  <c r="O92" i="34"/>
  <c r="O35" i="34"/>
  <c r="O76" i="34"/>
  <c r="O101" i="34"/>
  <c r="O38" i="34"/>
  <c r="O57" i="34"/>
  <c r="O83" i="34"/>
  <c r="O88" i="34"/>
  <c r="O104" i="34"/>
  <c r="O34" i="34"/>
  <c r="O46" i="34"/>
  <c r="O53" i="34"/>
  <c r="O72" i="34"/>
  <c r="O93" i="34"/>
  <c r="O100" i="34"/>
  <c r="O39" i="34"/>
  <c r="O49" i="34"/>
  <c r="O58" i="34"/>
  <c r="O68" i="34"/>
  <c r="O87" i="34"/>
  <c r="O89" i="34"/>
  <c r="O96" i="34"/>
  <c r="O12" i="34"/>
  <c r="C148" i="34"/>
  <c r="O19" i="34"/>
  <c r="O21" i="34"/>
  <c r="O13" i="34"/>
  <c r="O132" i="34"/>
  <c r="O125" i="34"/>
  <c r="O115" i="34"/>
  <c r="O110" i="34"/>
  <c r="O106" i="34"/>
  <c r="O102" i="34"/>
  <c r="O98" i="34"/>
  <c r="O94" i="34"/>
  <c r="O90" i="34"/>
  <c r="O85" i="34"/>
  <c r="O81" i="34"/>
  <c r="O73" i="34"/>
  <c r="O69" i="34"/>
  <c r="O65" i="34"/>
  <c r="O59" i="34"/>
  <c r="O55" i="34"/>
  <c r="O51" i="34"/>
  <c r="O47" i="34"/>
  <c r="O40" i="34"/>
  <c r="O36" i="34"/>
  <c r="O32" i="34"/>
  <c r="O116" i="34"/>
  <c r="O107" i="34"/>
  <c r="O95" i="34"/>
  <c r="O86" i="34"/>
  <c r="O66" i="34"/>
  <c r="O52" i="34"/>
  <c r="O44" i="34"/>
  <c r="O33" i="34"/>
  <c r="O127" i="34"/>
  <c r="O117" i="34"/>
  <c r="O108" i="34"/>
  <c r="O133" i="34"/>
  <c r="O111" i="34"/>
  <c r="O103" i="34"/>
  <c r="O99" i="34"/>
  <c r="O91" i="34"/>
  <c r="O82" i="34"/>
  <c r="O74" i="34"/>
  <c r="O70" i="34"/>
  <c r="O62" i="34"/>
  <c r="O56" i="34"/>
  <c r="O48" i="34"/>
  <c r="O37" i="34"/>
  <c r="O134" i="34"/>
  <c r="O122" i="34"/>
  <c r="O113" i="34"/>
  <c r="O112" i="34"/>
  <c r="F136" i="34"/>
  <c r="O10" i="34"/>
  <c r="O20" i="34"/>
  <c r="O22" i="34"/>
  <c r="O24" i="34"/>
  <c r="O63" i="34"/>
  <c r="O67" i="34"/>
  <c r="O71" i="34"/>
  <c r="O75" i="34"/>
  <c r="O77" i="34"/>
  <c r="O84" i="34"/>
  <c r="O124" i="34"/>
  <c r="O135" i="34"/>
  <c r="O114" i="34"/>
  <c r="O123" i="34"/>
  <c r="N10" i="34"/>
  <c r="N26" i="34" s="1"/>
  <c r="L26" i="34"/>
  <c r="O15" i="34"/>
  <c r="O25" i="34"/>
  <c r="O128" i="34"/>
  <c r="D136" i="34"/>
  <c r="L136" i="34"/>
  <c r="F77" i="33"/>
  <c r="F122" i="33"/>
  <c r="F88" i="33"/>
  <c r="C150" i="34" l="1"/>
  <c r="C162" i="34" s="1"/>
  <c r="N126" i="33"/>
  <c r="N60" i="33"/>
  <c r="L61" i="33"/>
  <c r="N61" i="33" s="1"/>
  <c r="L60" i="33"/>
  <c r="L48" i="33" l="1"/>
  <c r="L32" i="33"/>
  <c r="M20" i="32" l="1"/>
  <c r="M22" i="32"/>
  <c r="C145" i="33" l="1"/>
  <c r="C156" i="33"/>
  <c r="C144" i="33" l="1"/>
  <c r="C158" i="33"/>
  <c r="M20" i="33" l="1"/>
  <c r="M22" i="33"/>
  <c r="M18" i="33" l="1"/>
  <c r="M15" i="33"/>
  <c r="K136" i="33"/>
  <c r="J136" i="33"/>
  <c r="I136" i="33"/>
  <c r="H136" i="33"/>
  <c r="G136" i="33"/>
  <c r="F136" i="33"/>
  <c r="E136" i="33"/>
  <c r="C136" i="33"/>
  <c r="L135" i="33"/>
  <c r="N135" i="33" s="1"/>
  <c r="L134" i="33"/>
  <c r="N134" i="33" s="1"/>
  <c r="L133" i="33"/>
  <c r="N133" i="33" s="1"/>
  <c r="L132" i="33"/>
  <c r="N132" i="33" s="1"/>
  <c r="L128" i="33"/>
  <c r="N128" i="33" s="1"/>
  <c r="D127" i="33"/>
  <c r="L127" i="33" s="1"/>
  <c r="N127" i="33" s="1"/>
  <c r="L126" i="33"/>
  <c r="L125" i="33"/>
  <c r="N125" i="33" s="1"/>
  <c r="M124" i="33"/>
  <c r="L124" i="33"/>
  <c r="L123" i="33"/>
  <c r="N123" i="33" s="1"/>
  <c r="L122" i="33"/>
  <c r="N122" i="33" s="1"/>
  <c r="L117" i="33"/>
  <c r="N117" i="33" s="1"/>
  <c r="L116" i="33"/>
  <c r="N116" i="33" s="1"/>
  <c r="L115" i="33"/>
  <c r="N115" i="33" s="1"/>
  <c r="L114" i="33"/>
  <c r="N114" i="33" s="1"/>
  <c r="D113" i="33"/>
  <c r="L112" i="33"/>
  <c r="N112" i="33" s="1"/>
  <c r="L111" i="33"/>
  <c r="N111" i="33" s="1"/>
  <c r="L110" i="33"/>
  <c r="N110" i="33" s="1"/>
  <c r="L109" i="33"/>
  <c r="N109" i="33" s="1"/>
  <c r="L108" i="33"/>
  <c r="N108" i="33" s="1"/>
  <c r="L107" i="33"/>
  <c r="N107" i="33" s="1"/>
  <c r="L106" i="33"/>
  <c r="N106" i="33" s="1"/>
  <c r="L105" i="33"/>
  <c r="N105" i="33" s="1"/>
  <c r="L104" i="33"/>
  <c r="N104" i="33" s="1"/>
  <c r="L103" i="33"/>
  <c r="N103" i="33" s="1"/>
  <c r="L102" i="33"/>
  <c r="N102" i="33" s="1"/>
  <c r="L101" i="33"/>
  <c r="N101" i="33" s="1"/>
  <c r="L100" i="33"/>
  <c r="N100" i="33" s="1"/>
  <c r="L99" i="33"/>
  <c r="N99" i="33" s="1"/>
  <c r="L98" i="33"/>
  <c r="N98" i="33" s="1"/>
  <c r="L97" i="33"/>
  <c r="N97" i="33" s="1"/>
  <c r="L96" i="33"/>
  <c r="N96" i="33" s="1"/>
  <c r="L95" i="33"/>
  <c r="N95" i="33" s="1"/>
  <c r="L94" i="33"/>
  <c r="N94" i="33" s="1"/>
  <c r="L93" i="33"/>
  <c r="N93" i="33" s="1"/>
  <c r="L92" i="33"/>
  <c r="N92" i="33" s="1"/>
  <c r="L91" i="33"/>
  <c r="N91" i="33" s="1"/>
  <c r="L90" i="33"/>
  <c r="N90" i="33" s="1"/>
  <c r="L89" i="33"/>
  <c r="N89" i="33" s="1"/>
  <c r="L88" i="33"/>
  <c r="N88" i="33" s="1"/>
  <c r="L87" i="33"/>
  <c r="N87" i="33" s="1"/>
  <c r="L86" i="33"/>
  <c r="N86" i="33" s="1"/>
  <c r="L85" i="33"/>
  <c r="N85" i="33" s="1"/>
  <c r="L84" i="33"/>
  <c r="N84" i="33" s="1"/>
  <c r="L83" i="33"/>
  <c r="N83" i="33" s="1"/>
  <c r="L82" i="33"/>
  <c r="N82" i="33" s="1"/>
  <c r="L81" i="33"/>
  <c r="N81" i="33" s="1"/>
  <c r="L77" i="33"/>
  <c r="N77" i="33" s="1"/>
  <c r="L76" i="33"/>
  <c r="N76" i="33" s="1"/>
  <c r="L75" i="33"/>
  <c r="N75" i="33" s="1"/>
  <c r="L74" i="33"/>
  <c r="N74" i="33" s="1"/>
  <c r="L73" i="33"/>
  <c r="N73" i="33" s="1"/>
  <c r="L72" i="33"/>
  <c r="N72" i="33" s="1"/>
  <c r="L71" i="33"/>
  <c r="N71" i="33" s="1"/>
  <c r="L70" i="33"/>
  <c r="N70" i="33" s="1"/>
  <c r="L69" i="33"/>
  <c r="N69" i="33" s="1"/>
  <c r="L68" i="33"/>
  <c r="N68" i="33" s="1"/>
  <c r="L67" i="33"/>
  <c r="N67" i="33" s="1"/>
  <c r="L66" i="33"/>
  <c r="N66" i="33" s="1"/>
  <c r="L65" i="33"/>
  <c r="N65" i="33" s="1"/>
  <c r="L64" i="33"/>
  <c r="N64" i="33" s="1"/>
  <c r="L63" i="33"/>
  <c r="N63" i="33" s="1"/>
  <c r="L62" i="33"/>
  <c r="N62" i="33" s="1"/>
  <c r="L59" i="33"/>
  <c r="N59" i="33" s="1"/>
  <c r="L58" i="33"/>
  <c r="N58" i="33" s="1"/>
  <c r="L57" i="33"/>
  <c r="N57" i="33" s="1"/>
  <c r="L56" i="33"/>
  <c r="N56" i="33" s="1"/>
  <c r="L55" i="33"/>
  <c r="N55" i="33" s="1"/>
  <c r="L54" i="33"/>
  <c r="N54" i="33" s="1"/>
  <c r="L53" i="33"/>
  <c r="N53" i="33" s="1"/>
  <c r="L52" i="33"/>
  <c r="N52" i="33" s="1"/>
  <c r="L51" i="33"/>
  <c r="N51" i="33" s="1"/>
  <c r="L50" i="33"/>
  <c r="N50" i="33" s="1"/>
  <c r="L49" i="33"/>
  <c r="N49" i="33" s="1"/>
  <c r="N48" i="33"/>
  <c r="L47" i="33"/>
  <c r="N47" i="33" s="1"/>
  <c r="L46" i="33"/>
  <c r="N46" i="33" s="1"/>
  <c r="L45" i="33"/>
  <c r="N45" i="33" s="1"/>
  <c r="L44" i="33"/>
  <c r="N44" i="33" s="1"/>
  <c r="L40" i="33"/>
  <c r="N40" i="33" s="1"/>
  <c r="L39" i="33"/>
  <c r="N39" i="33" s="1"/>
  <c r="L38" i="33"/>
  <c r="N38" i="33" s="1"/>
  <c r="L37" i="33"/>
  <c r="N37" i="33" s="1"/>
  <c r="L36" i="33"/>
  <c r="N36" i="33" s="1"/>
  <c r="L35" i="33"/>
  <c r="N35" i="33" s="1"/>
  <c r="L34" i="33"/>
  <c r="N34" i="33" s="1"/>
  <c r="L33" i="33"/>
  <c r="N33" i="33" s="1"/>
  <c r="N32" i="33"/>
  <c r="L31" i="33"/>
  <c r="K26" i="33"/>
  <c r="J26" i="33"/>
  <c r="I26" i="33"/>
  <c r="H26" i="33"/>
  <c r="G26" i="33"/>
  <c r="F26" i="33"/>
  <c r="E26" i="33"/>
  <c r="D26" i="33"/>
  <c r="C26" i="33"/>
  <c r="C27" i="33" s="1"/>
  <c r="L25" i="33"/>
  <c r="N25" i="33" s="1"/>
  <c r="L24" i="33"/>
  <c r="N24" i="33" s="1"/>
  <c r="L22" i="33"/>
  <c r="N22" i="33" s="1"/>
  <c r="L21" i="33"/>
  <c r="N21" i="33" s="1"/>
  <c r="L20" i="33"/>
  <c r="N20" i="33" s="1"/>
  <c r="L19" i="33"/>
  <c r="N19" i="33" s="1"/>
  <c r="L18" i="33"/>
  <c r="L15" i="33"/>
  <c r="N15" i="33" s="1"/>
  <c r="L13" i="33"/>
  <c r="N13" i="33" s="1"/>
  <c r="M12" i="33"/>
  <c r="L12" i="33"/>
  <c r="L11" i="33"/>
  <c r="M10" i="33"/>
  <c r="L10" i="33"/>
  <c r="N12" i="33" l="1"/>
  <c r="N18" i="33"/>
  <c r="D136" i="33"/>
  <c r="L113" i="33"/>
  <c r="N113" i="33" s="1"/>
  <c r="L26" i="33"/>
  <c r="N31" i="33"/>
  <c r="N124" i="33"/>
  <c r="M136" i="33"/>
  <c r="C148" i="33" s="1"/>
  <c r="N10" i="33"/>
  <c r="M26" i="33"/>
  <c r="C147" i="33" s="1"/>
  <c r="N136" i="33" l="1"/>
  <c r="N26" i="33"/>
  <c r="C149" i="33"/>
  <c r="C161" i="33" s="1"/>
  <c r="L136" i="33"/>
  <c r="O22" i="33"/>
  <c r="O12" i="33"/>
  <c r="O13" i="33"/>
  <c r="O24" i="33"/>
  <c r="O25" i="33"/>
  <c r="O19" i="33"/>
  <c r="O21" i="33"/>
  <c r="O18" i="33"/>
  <c r="O15" i="33"/>
  <c r="O10" i="33"/>
  <c r="O133" i="33"/>
  <c r="O122" i="33"/>
  <c r="O114" i="33"/>
  <c r="O109" i="33"/>
  <c r="O105" i="33"/>
  <c r="O101" i="33"/>
  <c r="O97" i="33"/>
  <c r="O93" i="33"/>
  <c r="O89" i="33"/>
  <c r="O85" i="33"/>
  <c r="O81" i="33"/>
  <c r="O74" i="33"/>
  <c r="O70" i="33"/>
  <c r="O66" i="33"/>
  <c r="O62" i="33"/>
  <c r="O56" i="33"/>
  <c r="O52" i="33"/>
  <c r="O48" i="33"/>
  <c r="O44" i="33"/>
  <c r="O37" i="33"/>
  <c r="O33" i="33"/>
  <c r="O117" i="33"/>
  <c r="O113" i="33"/>
  <c r="O100" i="33"/>
  <c r="O96" i="33"/>
  <c r="O77" i="33"/>
  <c r="O65" i="33"/>
  <c r="O55" i="33"/>
  <c r="O51" i="33"/>
  <c r="O36" i="33"/>
  <c r="O134" i="33"/>
  <c r="O127" i="33"/>
  <c r="O123" i="33"/>
  <c r="O115" i="33"/>
  <c r="O110" i="33"/>
  <c r="O106" i="33"/>
  <c r="O102" i="33"/>
  <c r="O98" i="33"/>
  <c r="O94" i="33"/>
  <c r="O90" i="33"/>
  <c r="O86" i="33"/>
  <c r="O82" i="33"/>
  <c r="O75" i="33"/>
  <c r="O71" i="33"/>
  <c r="O67" i="33"/>
  <c r="O63" i="33"/>
  <c r="O57" i="33"/>
  <c r="O53" i="33"/>
  <c r="O49" i="33"/>
  <c r="O45" i="33"/>
  <c r="O38" i="33"/>
  <c r="O34" i="33"/>
  <c r="O112" i="33"/>
  <c r="O104" i="33"/>
  <c r="O88" i="33"/>
  <c r="O73" i="33"/>
  <c r="O69" i="33"/>
  <c r="O59" i="33"/>
  <c r="O47" i="33"/>
  <c r="O32" i="33"/>
  <c r="O135" i="33"/>
  <c r="O128" i="33"/>
  <c r="O125" i="33"/>
  <c r="O116" i="33"/>
  <c r="O111" i="33"/>
  <c r="O107" i="33"/>
  <c r="O103" i="33"/>
  <c r="O99" i="33"/>
  <c r="O95" i="33"/>
  <c r="O91" i="33"/>
  <c r="O87" i="33"/>
  <c r="O83" i="33"/>
  <c r="O76" i="33"/>
  <c r="O72" i="33"/>
  <c r="O68" i="33"/>
  <c r="O64" i="33"/>
  <c r="O58" i="33"/>
  <c r="O54" i="33"/>
  <c r="O50" i="33"/>
  <c r="O46" i="33"/>
  <c r="O39" i="33"/>
  <c r="O35" i="33"/>
  <c r="O31" i="33"/>
  <c r="O132" i="33"/>
  <c r="O108" i="33"/>
  <c r="O92" i="33"/>
  <c r="O84" i="33"/>
  <c r="O40" i="33"/>
  <c r="O124" i="33"/>
  <c r="O20" i="33"/>
  <c r="C154" i="32" l="1"/>
  <c r="C156" i="32" s="1"/>
  <c r="C143" i="32"/>
  <c r="C142" i="32"/>
  <c r="K134" i="32"/>
  <c r="J134" i="32"/>
  <c r="I134" i="32"/>
  <c r="H134" i="32"/>
  <c r="G134" i="32"/>
  <c r="F134" i="32"/>
  <c r="E134" i="32"/>
  <c r="C134" i="32"/>
  <c r="L133" i="32"/>
  <c r="N133" i="32" s="1"/>
  <c r="L132" i="32"/>
  <c r="N132" i="32" s="1"/>
  <c r="L131" i="32"/>
  <c r="N131" i="32" s="1"/>
  <c r="L130" i="32"/>
  <c r="N130" i="32" s="1"/>
  <c r="N126" i="32"/>
  <c r="L126" i="32"/>
  <c r="D125" i="32"/>
  <c r="L125" i="32" s="1"/>
  <c r="N125" i="32" s="1"/>
  <c r="L124" i="32"/>
  <c r="L123" i="32"/>
  <c r="N123" i="32" s="1"/>
  <c r="M122" i="32"/>
  <c r="M134" i="32" s="1"/>
  <c r="O130" i="32" s="1"/>
  <c r="L122" i="32"/>
  <c r="N122" i="32" s="1"/>
  <c r="L121" i="32"/>
  <c r="N121" i="32" s="1"/>
  <c r="L120" i="32"/>
  <c r="N120" i="32" s="1"/>
  <c r="L115" i="32"/>
  <c r="N115" i="32" s="1"/>
  <c r="L114" i="32"/>
  <c r="N114" i="32" s="1"/>
  <c r="L113" i="32"/>
  <c r="N113" i="32" s="1"/>
  <c r="L112" i="32"/>
  <c r="N112" i="32" s="1"/>
  <c r="D111" i="32"/>
  <c r="L110" i="32"/>
  <c r="N110" i="32" s="1"/>
  <c r="L109" i="32"/>
  <c r="N109" i="32" s="1"/>
  <c r="L108" i="32"/>
  <c r="N108" i="32" s="1"/>
  <c r="L107" i="32"/>
  <c r="N107" i="32" s="1"/>
  <c r="L106" i="32"/>
  <c r="N106" i="32" s="1"/>
  <c r="L105" i="32"/>
  <c r="N105" i="32" s="1"/>
  <c r="N104" i="32"/>
  <c r="L104" i="32"/>
  <c r="L103" i="32"/>
  <c r="N103" i="32" s="1"/>
  <c r="L102" i="32"/>
  <c r="N102" i="32" s="1"/>
  <c r="L101" i="32"/>
  <c r="N101" i="32" s="1"/>
  <c r="N100" i="32"/>
  <c r="L100" i="32"/>
  <c r="L99" i="32"/>
  <c r="N99" i="32" s="1"/>
  <c r="L98" i="32"/>
  <c r="N98" i="32" s="1"/>
  <c r="N97" i="32"/>
  <c r="L97" i="32"/>
  <c r="L96" i="32"/>
  <c r="N96" i="32" s="1"/>
  <c r="L95" i="32"/>
  <c r="N95" i="32" s="1"/>
  <c r="L94" i="32"/>
  <c r="N94" i="32" s="1"/>
  <c r="L93" i="32"/>
  <c r="N93" i="32" s="1"/>
  <c r="L92" i="32"/>
  <c r="N92" i="32" s="1"/>
  <c r="L91" i="32"/>
  <c r="N91" i="32" s="1"/>
  <c r="L90" i="32"/>
  <c r="N90" i="32" s="1"/>
  <c r="L89" i="32"/>
  <c r="N89" i="32" s="1"/>
  <c r="N88" i="32"/>
  <c r="L88" i="32"/>
  <c r="L87" i="32"/>
  <c r="N87" i="32" s="1"/>
  <c r="L86" i="32"/>
  <c r="N86" i="32" s="1"/>
  <c r="L85" i="32"/>
  <c r="N85" i="32" s="1"/>
  <c r="N84" i="32"/>
  <c r="L84" i="32"/>
  <c r="L83" i="32"/>
  <c r="N83" i="32" s="1"/>
  <c r="L82" i="32"/>
  <c r="N82" i="32" s="1"/>
  <c r="N81" i="32"/>
  <c r="L81" i="32"/>
  <c r="L80" i="32"/>
  <c r="N80" i="32" s="1"/>
  <c r="L79" i="32"/>
  <c r="N79" i="32" s="1"/>
  <c r="L75" i="32"/>
  <c r="N75" i="32" s="1"/>
  <c r="L74" i="32"/>
  <c r="N74" i="32" s="1"/>
  <c r="L73" i="32"/>
  <c r="N73" i="32" s="1"/>
  <c r="L72" i="32"/>
  <c r="N72" i="32" s="1"/>
  <c r="L71" i="32"/>
  <c r="N71" i="32" s="1"/>
  <c r="L70" i="32"/>
  <c r="N70" i="32" s="1"/>
  <c r="N69" i="32"/>
  <c r="L69" i="32"/>
  <c r="L68" i="32"/>
  <c r="N68" i="32" s="1"/>
  <c r="L67" i="32"/>
  <c r="N67" i="32" s="1"/>
  <c r="L66" i="32"/>
  <c r="N66" i="32" s="1"/>
  <c r="N65" i="32"/>
  <c r="L65" i="32"/>
  <c r="L64" i="32"/>
  <c r="N64" i="32" s="1"/>
  <c r="L63" i="32"/>
  <c r="N63" i="32" s="1"/>
  <c r="L62" i="32"/>
  <c r="N62" i="32" s="1"/>
  <c r="L61" i="32"/>
  <c r="N61" i="32" s="1"/>
  <c r="L60" i="32"/>
  <c r="N60" i="32" s="1"/>
  <c r="L59" i="32"/>
  <c r="N59" i="32" s="1"/>
  <c r="L58" i="32"/>
  <c r="N58" i="32" s="1"/>
  <c r="L57" i="32"/>
  <c r="N57" i="32" s="1"/>
  <c r="L56" i="32"/>
  <c r="N56" i="32" s="1"/>
  <c r="L55" i="32"/>
  <c r="N55" i="32" s="1"/>
  <c r="L54" i="32"/>
  <c r="N54" i="32" s="1"/>
  <c r="N53" i="32"/>
  <c r="L53" i="32"/>
  <c r="L52" i="32"/>
  <c r="N52" i="32" s="1"/>
  <c r="L51" i="32"/>
  <c r="N51" i="32" s="1"/>
  <c r="L50" i="32"/>
  <c r="N50" i="32" s="1"/>
  <c r="N49" i="32"/>
  <c r="L49" i="32"/>
  <c r="L48" i="32"/>
  <c r="N48" i="32" s="1"/>
  <c r="L47" i="32"/>
  <c r="N47" i="32" s="1"/>
  <c r="N46" i="32"/>
  <c r="L46" i="32"/>
  <c r="L45" i="32"/>
  <c r="N45" i="32" s="1"/>
  <c r="L44" i="32"/>
  <c r="N44" i="32" s="1"/>
  <c r="L40" i="32"/>
  <c r="N40" i="32" s="1"/>
  <c r="L39" i="32"/>
  <c r="N39" i="32" s="1"/>
  <c r="L38" i="32"/>
  <c r="N38" i="32" s="1"/>
  <c r="L37" i="32"/>
  <c r="N37" i="32" s="1"/>
  <c r="L36" i="32"/>
  <c r="N36" i="32" s="1"/>
  <c r="L35" i="32"/>
  <c r="N35" i="32" s="1"/>
  <c r="N34" i="32"/>
  <c r="L34" i="32"/>
  <c r="L33" i="32"/>
  <c r="N33" i="32" s="1"/>
  <c r="L32" i="32"/>
  <c r="N32" i="32" s="1"/>
  <c r="L31" i="32"/>
  <c r="N31" i="32" s="1"/>
  <c r="K26" i="32"/>
  <c r="J26" i="32"/>
  <c r="I26" i="32"/>
  <c r="H26" i="32"/>
  <c r="G26" i="32"/>
  <c r="F26" i="32"/>
  <c r="E26" i="32"/>
  <c r="D26" i="32"/>
  <c r="C26" i="32"/>
  <c r="C27" i="32" s="1"/>
  <c r="L25" i="32"/>
  <c r="N25" i="32" s="1"/>
  <c r="L24" i="32"/>
  <c r="N24" i="32" s="1"/>
  <c r="L22" i="32"/>
  <c r="N22" i="32" s="1"/>
  <c r="L21" i="32"/>
  <c r="N21" i="32" s="1"/>
  <c r="N20" i="32"/>
  <c r="L20" i="32"/>
  <c r="L19" i="32"/>
  <c r="N19" i="32" s="1"/>
  <c r="N18" i="32"/>
  <c r="M18" i="32"/>
  <c r="L18" i="32"/>
  <c r="M15" i="32"/>
  <c r="L15" i="32"/>
  <c r="N15" i="32" s="1"/>
  <c r="L13" i="32"/>
  <c r="N13" i="32" s="1"/>
  <c r="M12" i="32"/>
  <c r="L12" i="32"/>
  <c r="L11" i="32"/>
  <c r="M10" i="32"/>
  <c r="L10" i="32"/>
  <c r="N10" i="32" s="1"/>
  <c r="M26" i="32" l="1"/>
  <c r="O22" i="32" s="1"/>
  <c r="D134" i="32"/>
  <c r="L26" i="32"/>
  <c r="N12" i="32"/>
  <c r="O18" i="32"/>
  <c r="O132" i="32"/>
  <c r="O31" i="32"/>
  <c r="O35" i="32"/>
  <c r="O39" i="32"/>
  <c r="O46" i="32"/>
  <c r="O50" i="32"/>
  <c r="O54" i="32"/>
  <c r="O58" i="32"/>
  <c r="O62" i="32"/>
  <c r="O66" i="32"/>
  <c r="O70" i="32"/>
  <c r="O74" i="32"/>
  <c r="O81" i="32"/>
  <c r="O85" i="32"/>
  <c r="O89" i="32"/>
  <c r="O93" i="32"/>
  <c r="O97" i="32"/>
  <c r="O101" i="32"/>
  <c r="O105" i="32"/>
  <c r="O109" i="32"/>
  <c r="O122" i="32"/>
  <c r="O123" i="32"/>
  <c r="O114" i="32"/>
  <c r="O21" i="32"/>
  <c r="O24" i="32"/>
  <c r="O12" i="32"/>
  <c r="N134" i="32"/>
  <c r="N26" i="32"/>
  <c r="O126" i="32"/>
  <c r="O34" i="32"/>
  <c r="O38" i="32"/>
  <c r="O45" i="32"/>
  <c r="O49" i="32"/>
  <c r="O53" i="32"/>
  <c r="O57" i="32"/>
  <c r="O61" i="32"/>
  <c r="O65" i="32"/>
  <c r="O69" i="32"/>
  <c r="O73" i="32"/>
  <c r="O80" i="32"/>
  <c r="O84" i="32"/>
  <c r="O88" i="32"/>
  <c r="O92" i="32"/>
  <c r="O96" i="32"/>
  <c r="O100" i="32"/>
  <c r="O104" i="32"/>
  <c r="O108" i="32"/>
  <c r="L111" i="32"/>
  <c r="N111" i="32" s="1"/>
  <c r="O113" i="32"/>
  <c r="O121" i="32"/>
  <c r="O125" i="32"/>
  <c r="O133" i="32"/>
  <c r="O33" i="32"/>
  <c r="O37" i="32"/>
  <c r="O44" i="32"/>
  <c r="O48" i="32"/>
  <c r="O52" i="32"/>
  <c r="O56" i="32"/>
  <c r="O60" i="32"/>
  <c r="O64" i="32"/>
  <c r="O68" i="32"/>
  <c r="O72" i="32"/>
  <c r="O79" i="32"/>
  <c r="O83" i="32"/>
  <c r="O87" i="32"/>
  <c r="O91" i="32"/>
  <c r="O95" i="32"/>
  <c r="O99" i="32"/>
  <c r="O103" i="32"/>
  <c r="O107" i="32"/>
  <c r="O112" i="32"/>
  <c r="O120" i="32"/>
  <c r="O131" i="32"/>
  <c r="C146" i="32"/>
  <c r="O32" i="32"/>
  <c r="O36" i="32"/>
  <c r="O40" i="32"/>
  <c r="O47" i="32"/>
  <c r="O51" i="32"/>
  <c r="O55" i="32"/>
  <c r="O59" i="32"/>
  <c r="O63" i="32"/>
  <c r="O67" i="32"/>
  <c r="O71" i="32"/>
  <c r="O75" i="32"/>
  <c r="O82" i="32"/>
  <c r="O86" i="32"/>
  <c r="O90" i="32"/>
  <c r="O94" i="32"/>
  <c r="O98" i="32"/>
  <c r="O102" i="32"/>
  <c r="O106" i="32"/>
  <c r="O110" i="32"/>
  <c r="O111" i="32"/>
  <c r="O115" i="32"/>
  <c r="M18" i="31"/>
  <c r="O19" i="32" l="1"/>
  <c r="C145" i="32"/>
  <c r="C147" i="32" s="1"/>
  <c r="C159" i="32" s="1"/>
  <c r="O20" i="32"/>
  <c r="O25" i="32"/>
  <c r="O10" i="32"/>
  <c r="O15" i="32"/>
  <c r="O13" i="32"/>
  <c r="L134" i="32"/>
  <c r="C153" i="31"/>
  <c r="M15" i="31"/>
  <c r="M10" i="31"/>
  <c r="C155" i="31" l="1"/>
  <c r="C143" i="31"/>
  <c r="C142" i="31"/>
  <c r="K134" i="31"/>
  <c r="J134" i="31"/>
  <c r="I134" i="31"/>
  <c r="H134" i="31"/>
  <c r="G134" i="31"/>
  <c r="F134" i="31"/>
  <c r="E134" i="31"/>
  <c r="C134" i="31"/>
  <c r="N133" i="31"/>
  <c r="L133" i="31"/>
  <c r="L132" i="31"/>
  <c r="N132" i="31" s="1"/>
  <c r="N131" i="31"/>
  <c r="L131" i="31"/>
  <c r="L130" i="31"/>
  <c r="N130" i="31" s="1"/>
  <c r="N126" i="31"/>
  <c r="L126" i="31"/>
  <c r="L125" i="31"/>
  <c r="N125" i="31" s="1"/>
  <c r="D125" i="31"/>
  <c r="L124" i="31"/>
  <c r="N123" i="31"/>
  <c r="L123" i="31"/>
  <c r="M122" i="31"/>
  <c r="N122" i="31" s="1"/>
  <c r="L122" i="31"/>
  <c r="L121" i="31"/>
  <c r="N121" i="31" s="1"/>
  <c r="N120" i="31"/>
  <c r="L120" i="31"/>
  <c r="L115" i="31"/>
  <c r="N115" i="31" s="1"/>
  <c r="N114" i="31"/>
  <c r="L114" i="31"/>
  <c r="L113" i="31"/>
  <c r="N113" i="31" s="1"/>
  <c r="N112" i="31"/>
  <c r="L112" i="31"/>
  <c r="L111" i="31"/>
  <c r="N111" i="31" s="1"/>
  <c r="D111" i="31"/>
  <c r="D134" i="31" s="1"/>
  <c r="L110" i="31"/>
  <c r="N110" i="31" s="1"/>
  <c r="N109" i="31"/>
  <c r="L109" i="31"/>
  <c r="L108" i="31"/>
  <c r="N108" i="31" s="1"/>
  <c r="N107" i="31"/>
  <c r="L107" i="31"/>
  <c r="L106" i="31"/>
  <c r="N106" i="31" s="1"/>
  <c r="N105" i="31"/>
  <c r="L105" i="31"/>
  <c r="L104" i="31"/>
  <c r="N104" i="31" s="1"/>
  <c r="N103" i="31"/>
  <c r="L103" i="31"/>
  <c r="L102" i="31"/>
  <c r="N102" i="31" s="1"/>
  <c r="N101" i="31"/>
  <c r="L101" i="31"/>
  <c r="L100" i="31"/>
  <c r="N100" i="31" s="1"/>
  <c r="N99" i="31"/>
  <c r="L99" i="31"/>
  <c r="L98" i="31"/>
  <c r="N98" i="31" s="1"/>
  <c r="N97" i="31"/>
  <c r="L97" i="31"/>
  <c r="L96" i="31"/>
  <c r="N96" i="31" s="1"/>
  <c r="N95" i="31"/>
  <c r="L95" i="31"/>
  <c r="L94" i="31"/>
  <c r="N94" i="31" s="1"/>
  <c r="N93" i="31"/>
  <c r="L93" i="31"/>
  <c r="L92" i="31"/>
  <c r="N92" i="31" s="1"/>
  <c r="N91" i="31"/>
  <c r="L91" i="31"/>
  <c r="L90" i="31"/>
  <c r="N90" i="31" s="1"/>
  <c r="N89" i="31"/>
  <c r="L89" i="31"/>
  <c r="L88" i="31"/>
  <c r="N88" i="31" s="1"/>
  <c r="N87" i="31"/>
  <c r="L87" i="31"/>
  <c r="L86" i="31"/>
  <c r="N86" i="31" s="1"/>
  <c r="N85" i="31"/>
  <c r="L85" i="31"/>
  <c r="L84" i="31"/>
  <c r="N84" i="31" s="1"/>
  <c r="N83" i="31"/>
  <c r="L83" i="31"/>
  <c r="L82" i="31"/>
  <c r="N82" i="31" s="1"/>
  <c r="N81" i="31"/>
  <c r="L81" i="31"/>
  <c r="L80" i="31"/>
  <c r="N80" i="31" s="1"/>
  <c r="N79" i="31"/>
  <c r="L79" i="31"/>
  <c r="M75" i="31"/>
  <c r="M134" i="31" s="1"/>
  <c r="L75" i="31"/>
  <c r="N75" i="31" s="1"/>
  <c r="L74" i="31"/>
  <c r="N74" i="31" s="1"/>
  <c r="N73" i="31"/>
  <c r="L73" i="31"/>
  <c r="L72" i="31"/>
  <c r="N72" i="31" s="1"/>
  <c r="N71" i="31"/>
  <c r="L71" i="31"/>
  <c r="L70" i="31"/>
  <c r="N70" i="31" s="1"/>
  <c r="N69" i="31"/>
  <c r="L69" i="31"/>
  <c r="L68" i="31"/>
  <c r="N68" i="31" s="1"/>
  <c r="N67" i="31"/>
  <c r="L67" i="31"/>
  <c r="L66" i="31"/>
  <c r="N66" i="31" s="1"/>
  <c r="N65" i="31"/>
  <c r="L65" i="31"/>
  <c r="L64" i="31"/>
  <c r="N64" i="31" s="1"/>
  <c r="N63" i="31"/>
  <c r="L63" i="31"/>
  <c r="L62" i="31"/>
  <c r="N62" i="31" s="1"/>
  <c r="N61" i="31"/>
  <c r="L61" i="31"/>
  <c r="L60" i="31"/>
  <c r="N60" i="31" s="1"/>
  <c r="N59" i="31"/>
  <c r="L59" i="31"/>
  <c r="L58" i="31"/>
  <c r="N58" i="31" s="1"/>
  <c r="N57" i="31"/>
  <c r="L57" i="31"/>
  <c r="L56" i="31"/>
  <c r="N56" i="31" s="1"/>
  <c r="N55" i="31"/>
  <c r="L55" i="31"/>
  <c r="L54" i="31"/>
  <c r="N54" i="31" s="1"/>
  <c r="N53" i="31"/>
  <c r="L53" i="31"/>
  <c r="L52" i="31"/>
  <c r="N52" i="31" s="1"/>
  <c r="N51" i="31"/>
  <c r="L51" i="31"/>
  <c r="L50" i="31"/>
  <c r="N50" i="31" s="1"/>
  <c r="N49" i="31"/>
  <c r="L49" i="31"/>
  <c r="L48" i="31"/>
  <c r="N48" i="31" s="1"/>
  <c r="N47" i="31"/>
  <c r="L47" i="31"/>
  <c r="L46" i="31"/>
  <c r="N46" i="31" s="1"/>
  <c r="N45" i="31"/>
  <c r="L45" i="31"/>
  <c r="L44" i="31"/>
  <c r="N44" i="31" s="1"/>
  <c r="N40" i="31"/>
  <c r="L40" i="31"/>
  <c r="L39" i="31"/>
  <c r="N39" i="31" s="1"/>
  <c r="N38" i="31"/>
  <c r="L38" i="31"/>
  <c r="L37" i="31"/>
  <c r="N37" i="31" s="1"/>
  <c r="N36" i="31"/>
  <c r="L36" i="31"/>
  <c r="L35" i="31"/>
  <c r="N35" i="31" s="1"/>
  <c r="N34" i="31"/>
  <c r="L34" i="31"/>
  <c r="L33" i="31"/>
  <c r="N33" i="31" s="1"/>
  <c r="N32" i="31"/>
  <c r="L32" i="31"/>
  <c r="L31" i="31"/>
  <c r="L134" i="31" s="1"/>
  <c r="K26" i="31"/>
  <c r="J26" i="31"/>
  <c r="I26" i="31"/>
  <c r="H26" i="31"/>
  <c r="G26" i="31"/>
  <c r="F26" i="31"/>
  <c r="E26" i="31"/>
  <c r="D26" i="31"/>
  <c r="C26" i="31"/>
  <c r="C27" i="31" s="1"/>
  <c r="L25" i="31"/>
  <c r="N25" i="31" s="1"/>
  <c r="N24" i="31"/>
  <c r="L24" i="31"/>
  <c r="L22" i="31"/>
  <c r="N22" i="31" s="1"/>
  <c r="N21" i="31"/>
  <c r="L21" i="31"/>
  <c r="M20" i="31"/>
  <c r="L20" i="31"/>
  <c r="N20" i="31" s="1"/>
  <c r="L19" i="31"/>
  <c r="N19" i="31" s="1"/>
  <c r="L18" i="31"/>
  <c r="N18" i="31" s="1"/>
  <c r="L15" i="31"/>
  <c r="N15" i="31" s="1"/>
  <c r="N13" i="31"/>
  <c r="L13" i="31"/>
  <c r="M12" i="31"/>
  <c r="L12" i="31"/>
  <c r="N12" i="31" s="1"/>
  <c r="L11" i="31"/>
  <c r="L10" i="31"/>
  <c r="L26" i="31" s="1"/>
  <c r="C145" i="31" l="1"/>
  <c r="O133" i="31"/>
  <c r="O126" i="31"/>
  <c r="O123" i="31"/>
  <c r="O114" i="31"/>
  <c r="O109" i="31"/>
  <c r="O105" i="31"/>
  <c r="O101" i="31"/>
  <c r="O97" i="31"/>
  <c r="O93" i="31"/>
  <c r="O89" i="31"/>
  <c r="O85" i="31"/>
  <c r="O81" i="31"/>
  <c r="O73" i="31"/>
  <c r="O69" i="31"/>
  <c r="O65" i="31"/>
  <c r="O61" i="31"/>
  <c r="O57" i="31"/>
  <c r="O53" i="31"/>
  <c r="O49" i="31"/>
  <c r="O45" i="31"/>
  <c r="O38" i="31"/>
  <c r="O34" i="31"/>
  <c r="O125" i="31"/>
  <c r="O108" i="31"/>
  <c r="O100" i="31"/>
  <c r="O84" i="31"/>
  <c r="O68" i="31"/>
  <c r="O60" i="31"/>
  <c r="O48" i="31"/>
  <c r="O44" i="31"/>
  <c r="O130" i="31"/>
  <c r="O115" i="31"/>
  <c r="O111" i="31"/>
  <c r="O110" i="31"/>
  <c r="O106" i="31"/>
  <c r="O102" i="31"/>
  <c r="O98" i="31"/>
  <c r="O94" i="31"/>
  <c r="O90" i="31"/>
  <c r="O86" i="31"/>
  <c r="O82" i="31"/>
  <c r="O74" i="31"/>
  <c r="O70" i="31"/>
  <c r="O66" i="31"/>
  <c r="O62" i="31"/>
  <c r="O58" i="31"/>
  <c r="O54" i="31"/>
  <c r="O50" i="31"/>
  <c r="O46" i="31"/>
  <c r="O39" i="31"/>
  <c r="O35" i="31"/>
  <c r="O31" i="31"/>
  <c r="O132" i="31"/>
  <c r="O122" i="31"/>
  <c r="O121" i="31"/>
  <c r="O104" i="31"/>
  <c r="O96" i="31"/>
  <c r="O88" i="31"/>
  <c r="O80" i="31"/>
  <c r="O64" i="31"/>
  <c r="O56" i="31"/>
  <c r="O52" i="31"/>
  <c r="O33" i="31"/>
  <c r="O131" i="31"/>
  <c r="O120" i="31"/>
  <c r="O112" i="31"/>
  <c r="O107" i="31"/>
  <c r="O103" i="31"/>
  <c r="O99" i="31"/>
  <c r="O95" i="31"/>
  <c r="O91" i="31"/>
  <c r="O87" i="31"/>
  <c r="O83" i="31"/>
  <c r="O79" i="31"/>
  <c r="O71" i="31"/>
  <c r="O67" i="31"/>
  <c r="O63" i="31"/>
  <c r="O59" i="31"/>
  <c r="O55" i="31"/>
  <c r="O51" i="31"/>
  <c r="O47" i="31"/>
  <c r="O40" i="31"/>
  <c r="O36" i="31"/>
  <c r="O32" i="31"/>
  <c r="O113" i="31"/>
  <c r="O92" i="31"/>
  <c r="O72" i="31"/>
  <c r="O37" i="31"/>
  <c r="M26" i="31"/>
  <c r="O20" i="31" s="1"/>
  <c r="N31" i="31"/>
  <c r="N134" i="31" s="1"/>
  <c r="N10" i="31"/>
  <c r="N26" i="31" s="1"/>
  <c r="O75" i="31"/>
  <c r="M122" i="30"/>
  <c r="C143" i="30"/>
  <c r="O24" i="31" l="1"/>
  <c r="O18" i="31"/>
  <c r="O15" i="31"/>
  <c r="O13" i="31"/>
  <c r="O12" i="31"/>
  <c r="C144" i="31"/>
  <c r="C146" i="31" s="1"/>
  <c r="C158" i="31" s="1"/>
  <c r="O25" i="31"/>
  <c r="O19" i="31"/>
  <c r="O22" i="31"/>
  <c r="O21" i="31"/>
  <c r="O10" i="31"/>
  <c r="C153" i="30"/>
  <c r="C144" i="30"/>
  <c r="M15" i="30"/>
  <c r="M18" i="30"/>
  <c r="C155" i="30"/>
  <c r="C142" i="30"/>
  <c r="K134" i="30"/>
  <c r="J134" i="30"/>
  <c r="I134" i="30"/>
  <c r="H134" i="30"/>
  <c r="G134" i="30"/>
  <c r="F134" i="30"/>
  <c r="E134" i="30"/>
  <c r="C134" i="30"/>
  <c r="L133" i="30"/>
  <c r="N133" i="30" s="1"/>
  <c r="L132" i="30"/>
  <c r="N132" i="30" s="1"/>
  <c r="N131" i="30"/>
  <c r="L131" i="30"/>
  <c r="L130" i="30"/>
  <c r="N130" i="30" s="1"/>
  <c r="L126" i="30"/>
  <c r="N126" i="30" s="1"/>
  <c r="D125" i="30"/>
  <c r="L125" i="30" s="1"/>
  <c r="N125" i="30" s="1"/>
  <c r="L124" i="30"/>
  <c r="L123" i="30"/>
  <c r="N123" i="30" s="1"/>
  <c r="L122" i="30"/>
  <c r="N122" i="30" s="1"/>
  <c r="N121" i="30"/>
  <c r="L121" i="30"/>
  <c r="L120" i="30"/>
  <c r="N120" i="30" s="1"/>
  <c r="L115" i="30"/>
  <c r="N115" i="30" s="1"/>
  <c r="L114" i="30"/>
  <c r="N114" i="30" s="1"/>
  <c r="N113" i="30"/>
  <c r="L113" i="30"/>
  <c r="L112" i="30"/>
  <c r="N112" i="30" s="1"/>
  <c r="D111" i="30"/>
  <c r="L111" i="30" s="1"/>
  <c r="N111" i="30" s="1"/>
  <c r="L110" i="30"/>
  <c r="N110" i="30" s="1"/>
  <c r="L109" i="30"/>
  <c r="N109" i="30" s="1"/>
  <c r="N108" i="30"/>
  <c r="L108" i="30"/>
  <c r="L107" i="30"/>
  <c r="N107" i="30" s="1"/>
  <c r="L106" i="30"/>
  <c r="N106" i="30" s="1"/>
  <c r="N105" i="30"/>
  <c r="L105" i="30"/>
  <c r="N104" i="30"/>
  <c r="L104" i="30"/>
  <c r="L103" i="30"/>
  <c r="N103" i="30" s="1"/>
  <c r="L102" i="30"/>
  <c r="N102" i="30" s="1"/>
  <c r="N101" i="30"/>
  <c r="L101" i="30"/>
  <c r="N100" i="30"/>
  <c r="L100" i="30"/>
  <c r="L99" i="30"/>
  <c r="N99" i="30" s="1"/>
  <c r="L98" i="30"/>
  <c r="N98" i="30" s="1"/>
  <c r="L97" i="30"/>
  <c r="N97" i="30" s="1"/>
  <c r="N96" i="30"/>
  <c r="L96" i="30"/>
  <c r="L95" i="30"/>
  <c r="N95" i="30" s="1"/>
  <c r="L94" i="30"/>
  <c r="N94" i="30" s="1"/>
  <c r="L93" i="30"/>
  <c r="N93" i="30" s="1"/>
  <c r="N92" i="30"/>
  <c r="L92" i="30"/>
  <c r="L91" i="30"/>
  <c r="N91" i="30" s="1"/>
  <c r="L90" i="30"/>
  <c r="N90" i="30" s="1"/>
  <c r="L89" i="30"/>
  <c r="N89" i="30" s="1"/>
  <c r="N88" i="30"/>
  <c r="L88" i="30"/>
  <c r="L87" i="30"/>
  <c r="N87" i="30" s="1"/>
  <c r="L86" i="30"/>
  <c r="N86" i="30" s="1"/>
  <c r="L85" i="30"/>
  <c r="N85" i="30" s="1"/>
  <c r="N84" i="30"/>
  <c r="L84" i="30"/>
  <c r="L83" i="30"/>
  <c r="N83" i="30" s="1"/>
  <c r="L82" i="30"/>
  <c r="N82" i="30" s="1"/>
  <c r="L81" i="30"/>
  <c r="N81" i="30" s="1"/>
  <c r="N80" i="30"/>
  <c r="L80" i="30"/>
  <c r="L79" i="30"/>
  <c r="N79" i="30" s="1"/>
  <c r="M75" i="30"/>
  <c r="L75" i="30"/>
  <c r="N75" i="30" s="1"/>
  <c r="L74" i="30"/>
  <c r="N74" i="30" s="1"/>
  <c r="L73" i="30"/>
  <c r="N73" i="30" s="1"/>
  <c r="N72" i="30"/>
  <c r="L72" i="30"/>
  <c r="L71" i="30"/>
  <c r="N71" i="30" s="1"/>
  <c r="L70" i="30"/>
  <c r="N70" i="30" s="1"/>
  <c r="L69" i="30"/>
  <c r="N69" i="30" s="1"/>
  <c r="N68" i="30"/>
  <c r="L68" i="30"/>
  <c r="L67" i="30"/>
  <c r="N67" i="30" s="1"/>
  <c r="L66" i="30"/>
  <c r="N66" i="30" s="1"/>
  <c r="L65" i="30"/>
  <c r="N65" i="30" s="1"/>
  <c r="N64" i="30"/>
  <c r="L64" i="30"/>
  <c r="L63" i="30"/>
  <c r="N63" i="30" s="1"/>
  <c r="L62" i="30"/>
  <c r="N62" i="30" s="1"/>
  <c r="L61" i="30"/>
  <c r="N61" i="30" s="1"/>
  <c r="N60" i="30"/>
  <c r="L60" i="30"/>
  <c r="L59" i="30"/>
  <c r="N59" i="30" s="1"/>
  <c r="L58" i="30"/>
  <c r="N58" i="30" s="1"/>
  <c r="L57" i="30"/>
  <c r="N57" i="30" s="1"/>
  <c r="N56" i="30"/>
  <c r="L56" i="30"/>
  <c r="L55" i="30"/>
  <c r="N55" i="30" s="1"/>
  <c r="L54" i="30"/>
  <c r="N54" i="30" s="1"/>
  <c r="L53" i="30"/>
  <c r="N53" i="30" s="1"/>
  <c r="N52" i="30"/>
  <c r="L52" i="30"/>
  <c r="L51" i="30"/>
  <c r="N51" i="30" s="1"/>
  <c r="L50" i="30"/>
  <c r="N50" i="30" s="1"/>
  <c r="L49" i="30"/>
  <c r="N49" i="30" s="1"/>
  <c r="N48" i="30"/>
  <c r="L48" i="30"/>
  <c r="L47" i="30"/>
  <c r="N47" i="30" s="1"/>
  <c r="L46" i="30"/>
  <c r="N46" i="30" s="1"/>
  <c r="L45" i="30"/>
  <c r="N45" i="30" s="1"/>
  <c r="N44" i="30"/>
  <c r="L44" i="30"/>
  <c r="L40" i="30"/>
  <c r="N40" i="30" s="1"/>
  <c r="L39" i="30"/>
  <c r="N39" i="30" s="1"/>
  <c r="L38" i="30"/>
  <c r="N38" i="30" s="1"/>
  <c r="N37" i="30"/>
  <c r="L37" i="30"/>
  <c r="L36" i="30"/>
  <c r="N36" i="30" s="1"/>
  <c r="L35" i="30"/>
  <c r="N35" i="30" s="1"/>
  <c r="L34" i="30"/>
  <c r="N34" i="30" s="1"/>
  <c r="N33" i="30"/>
  <c r="L33" i="30"/>
  <c r="L32" i="30"/>
  <c r="N32" i="30" s="1"/>
  <c r="L31" i="30"/>
  <c r="N31" i="30" s="1"/>
  <c r="K26" i="30"/>
  <c r="J26" i="30"/>
  <c r="I26" i="30"/>
  <c r="H26" i="30"/>
  <c r="G26" i="30"/>
  <c r="F26" i="30"/>
  <c r="E26" i="30"/>
  <c r="D26" i="30"/>
  <c r="C26" i="30"/>
  <c r="C27" i="30" s="1"/>
  <c r="L25" i="30"/>
  <c r="N25" i="30" s="1"/>
  <c r="L24" i="30"/>
  <c r="N24" i="30" s="1"/>
  <c r="N22" i="30"/>
  <c r="L22" i="30"/>
  <c r="L21" i="30"/>
  <c r="N21" i="30" s="1"/>
  <c r="M20" i="30"/>
  <c r="L20" i="30"/>
  <c r="N20" i="30" s="1"/>
  <c r="L19" i="30"/>
  <c r="N19" i="30" s="1"/>
  <c r="L18" i="30"/>
  <c r="N18" i="30" s="1"/>
  <c r="L15" i="30"/>
  <c r="N15" i="30" s="1"/>
  <c r="L13" i="30"/>
  <c r="N13" i="30" s="1"/>
  <c r="N12" i="30"/>
  <c r="M12" i="30"/>
  <c r="L12" i="30"/>
  <c r="L11" i="30"/>
  <c r="M10" i="30"/>
  <c r="M26" i="30" s="1"/>
  <c r="O13" i="30" s="1"/>
  <c r="L10" i="30"/>
  <c r="N10" i="30" s="1"/>
  <c r="M18" i="29"/>
  <c r="N26" i="30" l="1"/>
  <c r="O25" i="30"/>
  <c r="O19" i="30"/>
  <c r="O22" i="30"/>
  <c r="O21" i="30"/>
  <c r="O12" i="30"/>
  <c r="O18" i="30"/>
  <c r="O20" i="30"/>
  <c r="O10" i="30"/>
  <c r="O24" i="30"/>
  <c r="N134" i="30"/>
  <c r="O15" i="30"/>
  <c r="L26" i="30"/>
  <c r="D134" i="30"/>
  <c r="L134" i="30"/>
  <c r="M134" i="30"/>
  <c r="O75" i="30" l="1"/>
  <c r="C145" i="30"/>
  <c r="C146" i="30" s="1"/>
  <c r="C158" i="30" s="1"/>
  <c r="C159" i="30" s="1"/>
  <c r="O133" i="30"/>
  <c r="O126" i="30"/>
  <c r="O123" i="30"/>
  <c r="O115" i="30"/>
  <c r="O111" i="30"/>
  <c r="O110" i="30"/>
  <c r="O106" i="30"/>
  <c r="O102" i="30"/>
  <c r="O98" i="30"/>
  <c r="O94" i="30"/>
  <c r="O90" i="30"/>
  <c r="O86" i="30"/>
  <c r="O82" i="30"/>
  <c r="O74" i="30"/>
  <c r="O70" i="30"/>
  <c r="O66" i="30"/>
  <c r="O62" i="30"/>
  <c r="O58" i="30"/>
  <c r="O54" i="30"/>
  <c r="O50" i="30"/>
  <c r="O46" i="30"/>
  <c r="O39" i="30"/>
  <c r="O35" i="30"/>
  <c r="O31" i="30"/>
  <c r="O113" i="30"/>
  <c r="O108" i="30"/>
  <c r="O100" i="30"/>
  <c r="O92" i="30"/>
  <c r="O84" i="30"/>
  <c r="O80" i="30"/>
  <c r="O68" i="30"/>
  <c r="O60" i="30"/>
  <c r="O52" i="30"/>
  <c r="O44" i="30"/>
  <c r="O33" i="30"/>
  <c r="O130" i="30"/>
  <c r="O120" i="30"/>
  <c r="O112" i="30"/>
  <c r="O107" i="30"/>
  <c r="O103" i="30"/>
  <c r="O99" i="30"/>
  <c r="O95" i="30"/>
  <c r="O91" i="30"/>
  <c r="O87" i="30"/>
  <c r="O83" i="30"/>
  <c r="O79" i="30"/>
  <c r="O71" i="30"/>
  <c r="O67" i="30"/>
  <c r="O63" i="30"/>
  <c r="O59" i="30"/>
  <c r="O55" i="30"/>
  <c r="O51" i="30"/>
  <c r="O47" i="30"/>
  <c r="O40" i="30"/>
  <c r="O36" i="30"/>
  <c r="O32" i="30"/>
  <c r="O131" i="30"/>
  <c r="O121" i="30"/>
  <c r="O104" i="30"/>
  <c r="O96" i="30"/>
  <c r="O88" i="30"/>
  <c r="O72" i="30"/>
  <c r="O64" i="30"/>
  <c r="O56" i="30"/>
  <c r="O48" i="30"/>
  <c r="O37" i="30"/>
  <c r="O132" i="30"/>
  <c r="O125" i="30"/>
  <c r="O122" i="30"/>
  <c r="O114" i="30"/>
  <c r="O109" i="30"/>
  <c r="O105" i="30"/>
  <c r="O93" i="30"/>
  <c r="O85" i="30"/>
  <c r="O69" i="30"/>
  <c r="O61" i="30"/>
  <c r="O53" i="30"/>
  <c r="O45" i="30"/>
  <c r="O34" i="30"/>
  <c r="O97" i="30"/>
  <c r="O89" i="30"/>
  <c r="O81" i="30"/>
  <c r="O65" i="30"/>
  <c r="O57" i="30"/>
  <c r="O49" i="30"/>
  <c r="O38" i="30"/>
  <c r="O73" i="30"/>
  <c r="O101" i="30"/>
  <c r="C159" i="29" l="1"/>
  <c r="C143" i="29" l="1"/>
  <c r="D125" i="29" l="1"/>
  <c r="D111" i="29"/>
  <c r="L62" i="29"/>
  <c r="N62" i="29" s="1"/>
  <c r="L124" i="29"/>
  <c r="M75" i="29" l="1"/>
  <c r="M15" i="29" l="1"/>
  <c r="C155" i="29" l="1"/>
  <c r="M20" i="29" l="1"/>
  <c r="M12" i="29"/>
  <c r="M10" i="29"/>
  <c r="C142" i="29"/>
  <c r="M134" i="29"/>
  <c r="K134" i="29"/>
  <c r="J134" i="29"/>
  <c r="I134" i="29"/>
  <c r="H134" i="29"/>
  <c r="G134" i="29"/>
  <c r="F134" i="29"/>
  <c r="E134" i="29"/>
  <c r="D134" i="29"/>
  <c r="C134" i="29"/>
  <c r="L133" i="29"/>
  <c r="N133" i="29" s="1"/>
  <c r="L132" i="29"/>
  <c r="N132" i="29" s="1"/>
  <c r="L131" i="29"/>
  <c r="N131" i="29" s="1"/>
  <c r="L130" i="29"/>
  <c r="N130" i="29" s="1"/>
  <c r="L126" i="29"/>
  <c r="N126" i="29" s="1"/>
  <c r="L125" i="29"/>
  <c r="N125" i="29" s="1"/>
  <c r="L123" i="29"/>
  <c r="N123" i="29" s="1"/>
  <c r="L122" i="29"/>
  <c r="N122" i="29" s="1"/>
  <c r="L121" i="29"/>
  <c r="N121" i="29" s="1"/>
  <c r="L120" i="29"/>
  <c r="N120" i="29" s="1"/>
  <c r="L115" i="29"/>
  <c r="N115" i="29" s="1"/>
  <c r="L114" i="29"/>
  <c r="N114" i="29" s="1"/>
  <c r="L113" i="29"/>
  <c r="N113" i="29" s="1"/>
  <c r="L112" i="29"/>
  <c r="N112" i="29" s="1"/>
  <c r="L111" i="29"/>
  <c r="N111" i="29" s="1"/>
  <c r="L110" i="29"/>
  <c r="N110" i="29" s="1"/>
  <c r="L109" i="29"/>
  <c r="N109" i="29" s="1"/>
  <c r="L108" i="29"/>
  <c r="N108" i="29" s="1"/>
  <c r="L107" i="29"/>
  <c r="N107" i="29" s="1"/>
  <c r="L106" i="29"/>
  <c r="N106" i="29" s="1"/>
  <c r="L105" i="29"/>
  <c r="N105" i="29" s="1"/>
  <c r="L104" i="29"/>
  <c r="N104" i="29" s="1"/>
  <c r="L103" i="29"/>
  <c r="N103" i="29" s="1"/>
  <c r="L102" i="29"/>
  <c r="N102" i="29" s="1"/>
  <c r="L101" i="29"/>
  <c r="N101" i="29" s="1"/>
  <c r="L100" i="29"/>
  <c r="N100" i="29" s="1"/>
  <c r="L99" i="29"/>
  <c r="N99" i="29" s="1"/>
  <c r="L98" i="29"/>
  <c r="N98" i="29" s="1"/>
  <c r="L97" i="29"/>
  <c r="N97" i="29" s="1"/>
  <c r="L96" i="29"/>
  <c r="N96" i="29" s="1"/>
  <c r="L95" i="29"/>
  <c r="N95" i="29" s="1"/>
  <c r="L94" i="29"/>
  <c r="N94" i="29" s="1"/>
  <c r="L93" i="29"/>
  <c r="N93" i="29" s="1"/>
  <c r="L92" i="29"/>
  <c r="N92" i="29" s="1"/>
  <c r="L91" i="29"/>
  <c r="N91" i="29" s="1"/>
  <c r="L90" i="29"/>
  <c r="N90" i="29" s="1"/>
  <c r="L89" i="29"/>
  <c r="N89" i="29" s="1"/>
  <c r="L88" i="29"/>
  <c r="N88" i="29" s="1"/>
  <c r="L87" i="29"/>
  <c r="N87" i="29" s="1"/>
  <c r="L86" i="29"/>
  <c r="N86" i="29" s="1"/>
  <c r="L85" i="29"/>
  <c r="N85" i="29" s="1"/>
  <c r="L84" i="29"/>
  <c r="N84" i="29" s="1"/>
  <c r="L83" i="29"/>
  <c r="N83" i="29" s="1"/>
  <c r="L82" i="29"/>
  <c r="N82" i="29" s="1"/>
  <c r="L81" i="29"/>
  <c r="N81" i="29" s="1"/>
  <c r="L80" i="29"/>
  <c r="N80" i="29" s="1"/>
  <c r="L79" i="29"/>
  <c r="N79" i="29" s="1"/>
  <c r="L75" i="29"/>
  <c r="N75" i="29" s="1"/>
  <c r="L74" i="29"/>
  <c r="N74" i="29" s="1"/>
  <c r="L73" i="29"/>
  <c r="N73" i="29" s="1"/>
  <c r="L72" i="29"/>
  <c r="N72" i="29" s="1"/>
  <c r="L71" i="29"/>
  <c r="N71" i="29" s="1"/>
  <c r="L70" i="29"/>
  <c r="N70" i="29" s="1"/>
  <c r="L69" i="29"/>
  <c r="N69" i="29" s="1"/>
  <c r="L68" i="29"/>
  <c r="N68" i="29" s="1"/>
  <c r="L67" i="29"/>
  <c r="N67" i="29" s="1"/>
  <c r="L66" i="29"/>
  <c r="N66" i="29" s="1"/>
  <c r="L65" i="29"/>
  <c r="N65" i="29" s="1"/>
  <c r="L64" i="29"/>
  <c r="N64" i="29" s="1"/>
  <c r="L63" i="29"/>
  <c r="N63" i="29" s="1"/>
  <c r="L61" i="29"/>
  <c r="N61" i="29" s="1"/>
  <c r="L60" i="29"/>
  <c r="N60" i="29" s="1"/>
  <c r="L59" i="29"/>
  <c r="N59" i="29" s="1"/>
  <c r="L58" i="29"/>
  <c r="N58" i="29" s="1"/>
  <c r="L57" i="29"/>
  <c r="N57" i="29" s="1"/>
  <c r="L56" i="29"/>
  <c r="N56" i="29" s="1"/>
  <c r="L55" i="29"/>
  <c r="N55" i="29" s="1"/>
  <c r="L54" i="29"/>
  <c r="N54" i="29" s="1"/>
  <c r="L53" i="29"/>
  <c r="N53" i="29" s="1"/>
  <c r="L52" i="29"/>
  <c r="N52" i="29" s="1"/>
  <c r="L51" i="29"/>
  <c r="N51" i="29" s="1"/>
  <c r="L50" i="29"/>
  <c r="N50" i="29" s="1"/>
  <c r="L49" i="29"/>
  <c r="N49" i="29" s="1"/>
  <c r="L48" i="29"/>
  <c r="N48" i="29" s="1"/>
  <c r="L47" i="29"/>
  <c r="N47" i="29" s="1"/>
  <c r="L46" i="29"/>
  <c r="N46" i="29" s="1"/>
  <c r="L45" i="29"/>
  <c r="N45" i="29" s="1"/>
  <c r="L44" i="29"/>
  <c r="N44" i="29" s="1"/>
  <c r="L40" i="29"/>
  <c r="N40" i="29" s="1"/>
  <c r="L39" i="29"/>
  <c r="N39" i="29" s="1"/>
  <c r="L38" i="29"/>
  <c r="N38" i="29" s="1"/>
  <c r="L37" i="29"/>
  <c r="N37" i="29" s="1"/>
  <c r="L36" i="29"/>
  <c r="N36" i="29" s="1"/>
  <c r="L35" i="29"/>
  <c r="N35" i="29" s="1"/>
  <c r="L34" i="29"/>
  <c r="N34" i="29" s="1"/>
  <c r="L33" i="29"/>
  <c r="N33" i="29" s="1"/>
  <c r="L32" i="29"/>
  <c r="N32" i="29" s="1"/>
  <c r="L31" i="29"/>
  <c r="K26" i="29"/>
  <c r="J26" i="29"/>
  <c r="I26" i="29"/>
  <c r="H26" i="29"/>
  <c r="G26" i="29"/>
  <c r="F26" i="29"/>
  <c r="E26" i="29"/>
  <c r="D26" i="29"/>
  <c r="C26" i="29"/>
  <c r="C27" i="29" s="1"/>
  <c r="L25" i="29"/>
  <c r="N25" i="29" s="1"/>
  <c r="L24" i="29"/>
  <c r="N24" i="29" s="1"/>
  <c r="L22" i="29"/>
  <c r="N22" i="29" s="1"/>
  <c r="L21" i="29"/>
  <c r="N21" i="29" s="1"/>
  <c r="L20" i="29"/>
  <c r="N20" i="29" s="1"/>
  <c r="L19" i="29"/>
  <c r="N19" i="29" s="1"/>
  <c r="L18" i="29"/>
  <c r="N18" i="29" s="1"/>
  <c r="L15" i="29"/>
  <c r="N15" i="29" s="1"/>
  <c r="L13" i="29"/>
  <c r="N13" i="29" s="1"/>
  <c r="L12" i="29"/>
  <c r="N12" i="29" s="1"/>
  <c r="L11" i="29"/>
  <c r="L10" i="29"/>
  <c r="O133" i="29" l="1"/>
  <c r="O62" i="29"/>
  <c r="M26" i="29"/>
  <c r="O22" i="29" s="1"/>
  <c r="N10" i="29"/>
  <c r="O46" i="29"/>
  <c r="O44" i="29"/>
  <c r="O33" i="29"/>
  <c r="O54" i="29"/>
  <c r="O68" i="29"/>
  <c r="O79" i="29"/>
  <c r="O100" i="29"/>
  <c r="O108" i="29"/>
  <c r="O122" i="29"/>
  <c r="O37" i="29"/>
  <c r="O50" i="29"/>
  <c r="O58" i="29"/>
  <c r="O64" i="29"/>
  <c r="O72" i="29"/>
  <c r="O104" i="29"/>
  <c r="O112" i="29"/>
  <c r="O114" i="29"/>
  <c r="O48" i="29"/>
  <c r="O56" i="29"/>
  <c r="O60" i="29"/>
  <c r="O67" i="29"/>
  <c r="O71" i="29"/>
  <c r="O75" i="29"/>
  <c r="O87" i="29"/>
  <c r="O91" i="29"/>
  <c r="L134" i="29"/>
  <c r="O32" i="29"/>
  <c r="O36" i="29"/>
  <c r="O40" i="29"/>
  <c r="O65" i="29"/>
  <c r="O69" i="29"/>
  <c r="O73" i="29"/>
  <c r="O80" i="29"/>
  <c r="O82" i="29"/>
  <c r="O86" i="29"/>
  <c r="O90" i="29"/>
  <c r="O94" i="29"/>
  <c r="O99" i="29"/>
  <c r="O103" i="29"/>
  <c r="O107" i="29"/>
  <c r="O111" i="29"/>
  <c r="O130" i="29"/>
  <c r="O52" i="29"/>
  <c r="O63" i="29"/>
  <c r="O83" i="29"/>
  <c r="O95" i="29"/>
  <c r="O120" i="29"/>
  <c r="O125" i="29"/>
  <c r="O132" i="29"/>
  <c r="O31" i="29"/>
  <c r="O35" i="29"/>
  <c r="O39" i="29"/>
  <c r="O47" i="29"/>
  <c r="O51" i="29"/>
  <c r="O55" i="29"/>
  <c r="O59" i="29"/>
  <c r="O84" i="29"/>
  <c r="O88" i="29"/>
  <c r="O92" i="29"/>
  <c r="O96" i="29"/>
  <c r="O98" i="29"/>
  <c r="O102" i="29"/>
  <c r="O106" i="29"/>
  <c r="O110" i="29"/>
  <c r="O115" i="29"/>
  <c r="O123" i="29"/>
  <c r="O131" i="29"/>
  <c r="O15" i="29"/>
  <c r="O21" i="29"/>
  <c r="N31" i="29"/>
  <c r="N134" i="29" s="1"/>
  <c r="N26" i="29"/>
  <c r="L26" i="29"/>
  <c r="O19" i="29"/>
  <c r="O25" i="29"/>
  <c r="C145" i="29"/>
  <c r="O34" i="29"/>
  <c r="O38" i="29"/>
  <c r="O45" i="29"/>
  <c r="O49" i="29"/>
  <c r="O53" i="29"/>
  <c r="O57" i="29"/>
  <c r="O61" i="29"/>
  <c r="O66" i="29"/>
  <c r="O70" i="29"/>
  <c r="O74" i="29"/>
  <c r="O81" i="29"/>
  <c r="O85" i="29"/>
  <c r="O89" i="29"/>
  <c r="O93" i="29"/>
  <c r="O97" i="29"/>
  <c r="O101" i="29"/>
  <c r="O105" i="29"/>
  <c r="O109" i="29"/>
  <c r="O113" i="29"/>
  <c r="O121" i="29"/>
  <c r="O126" i="29"/>
  <c r="O24" i="29" l="1"/>
  <c r="O13" i="29"/>
  <c r="O10" i="29"/>
  <c r="O18" i="29"/>
  <c r="O20" i="29"/>
  <c r="C144" i="29"/>
  <c r="C146" i="29" s="1"/>
  <c r="C158" i="29" s="1"/>
  <c r="O12" i="29"/>
  <c r="C148" i="27"/>
  <c r="C152" i="27" s="1"/>
  <c r="M18" i="27" l="1"/>
  <c r="M15" i="27"/>
  <c r="M12" i="27"/>
  <c r="M10" i="27"/>
  <c r="C140" i="27"/>
  <c r="M132" i="27"/>
  <c r="O129" i="27" s="1"/>
  <c r="K132" i="27"/>
  <c r="J132" i="27"/>
  <c r="I132" i="27"/>
  <c r="H132" i="27"/>
  <c r="G132" i="27"/>
  <c r="F132" i="27"/>
  <c r="E132" i="27"/>
  <c r="D132" i="27"/>
  <c r="C132" i="27"/>
  <c r="N131" i="27"/>
  <c r="L131" i="27"/>
  <c r="L130" i="27"/>
  <c r="N130" i="27" s="1"/>
  <c r="L129" i="27"/>
  <c r="N129" i="27" s="1"/>
  <c r="L128" i="27"/>
  <c r="N128" i="27" s="1"/>
  <c r="L124" i="27"/>
  <c r="N124" i="27" s="1"/>
  <c r="L123" i="27"/>
  <c r="N123" i="27" s="1"/>
  <c r="L122" i="27"/>
  <c r="N122" i="27" s="1"/>
  <c r="O121" i="27"/>
  <c r="L121" i="27"/>
  <c r="N121" i="27" s="1"/>
  <c r="L120" i="27"/>
  <c r="N120" i="27" s="1"/>
  <c r="L119" i="27"/>
  <c r="N119" i="27" s="1"/>
  <c r="N114" i="27"/>
  <c r="L114" i="27"/>
  <c r="L113" i="27"/>
  <c r="N113" i="27" s="1"/>
  <c r="L112" i="27"/>
  <c r="N112" i="27" s="1"/>
  <c r="L111" i="27"/>
  <c r="N111" i="27" s="1"/>
  <c r="L110" i="27"/>
  <c r="N110" i="27" s="1"/>
  <c r="L109" i="27"/>
  <c r="N109" i="27" s="1"/>
  <c r="L108" i="27"/>
  <c r="N108" i="27" s="1"/>
  <c r="L107" i="27"/>
  <c r="N107" i="27" s="1"/>
  <c r="N106" i="27"/>
  <c r="L106" i="27"/>
  <c r="L105" i="27"/>
  <c r="N105" i="27" s="1"/>
  <c r="L104" i="27"/>
  <c r="N104" i="27" s="1"/>
  <c r="L103" i="27"/>
  <c r="N103" i="27" s="1"/>
  <c r="L102" i="27"/>
  <c r="N102" i="27" s="1"/>
  <c r="L101" i="27"/>
  <c r="N101" i="27" s="1"/>
  <c r="L100" i="27"/>
  <c r="N100" i="27" s="1"/>
  <c r="L99" i="27"/>
  <c r="N99" i="27" s="1"/>
  <c r="N98" i="27"/>
  <c r="L98" i="27"/>
  <c r="L97" i="27"/>
  <c r="N97" i="27" s="1"/>
  <c r="L96" i="27"/>
  <c r="N96" i="27" s="1"/>
  <c r="L95" i="27"/>
  <c r="N95" i="27" s="1"/>
  <c r="L94" i="27"/>
  <c r="N94" i="27" s="1"/>
  <c r="L93" i="27"/>
  <c r="N93" i="27" s="1"/>
  <c r="L92" i="27"/>
  <c r="N92" i="27" s="1"/>
  <c r="L91" i="27"/>
  <c r="N91" i="27" s="1"/>
  <c r="N90" i="27"/>
  <c r="L90" i="27"/>
  <c r="L89" i="27"/>
  <c r="N89" i="27" s="1"/>
  <c r="L88" i="27"/>
  <c r="N88" i="27" s="1"/>
  <c r="L87" i="27"/>
  <c r="N87" i="27" s="1"/>
  <c r="L86" i="27"/>
  <c r="N86" i="27" s="1"/>
  <c r="L85" i="27"/>
  <c r="N85" i="27" s="1"/>
  <c r="L84" i="27"/>
  <c r="N84" i="27" s="1"/>
  <c r="L83" i="27"/>
  <c r="N83" i="27" s="1"/>
  <c r="N82" i="27"/>
  <c r="L82" i="27"/>
  <c r="L81" i="27"/>
  <c r="N81" i="27" s="1"/>
  <c r="L80" i="27"/>
  <c r="N80" i="27" s="1"/>
  <c r="L79" i="27"/>
  <c r="N79" i="27" s="1"/>
  <c r="L78" i="27"/>
  <c r="N78" i="27" s="1"/>
  <c r="O74" i="27"/>
  <c r="L74" i="27"/>
  <c r="N74" i="27" s="1"/>
  <c r="L73" i="27"/>
  <c r="N73" i="27" s="1"/>
  <c r="L72" i="27"/>
  <c r="N72" i="27" s="1"/>
  <c r="N71" i="27"/>
  <c r="L71" i="27"/>
  <c r="L70" i="27"/>
  <c r="N70" i="27" s="1"/>
  <c r="N69" i="27"/>
  <c r="L69" i="27"/>
  <c r="L68" i="27"/>
  <c r="N68" i="27" s="1"/>
  <c r="L67" i="27"/>
  <c r="N67" i="27" s="1"/>
  <c r="L66" i="27"/>
  <c r="N66" i="27" s="1"/>
  <c r="L65" i="27"/>
  <c r="N65" i="27" s="1"/>
  <c r="L64" i="27"/>
  <c r="N64" i="27" s="1"/>
  <c r="N63" i="27"/>
  <c r="L63" i="27"/>
  <c r="O62" i="27"/>
  <c r="L62" i="27"/>
  <c r="N62" i="27" s="1"/>
  <c r="L61" i="27"/>
  <c r="N61" i="27" s="1"/>
  <c r="L60" i="27"/>
  <c r="N60" i="27" s="1"/>
  <c r="N59" i="27"/>
  <c r="L59" i="27"/>
  <c r="L58" i="27"/>
  <c r="N58" i="27" s="1"/>
  <c r="L57" i="27"/>
  <c r="N57" i="27" s="1"/>
  <c r="L56" i="27"/>
  <c r="N56" i="27" s="1"/>
  <c r="L55" i="27"/>
  <c r="N55" i="27" s="1"/>
  <c r="L54" i="27"/>
  <c r="N54" i="27" s="1"/>
  <c r="L53" i="27"/>
  <c r="N53" i="27" s="1"/>
  <c r="L52" i="27"/>
  <c r="N52" i="27" s="1"/>
  <c r="N51" i="27"/>
  <c r="L51" i="27"/>
  <c r="O50" i="27"/>
  <c r="L50" i="27"/>
  <c r="N50" i="27" s="1"/>
  <c r="N49" i="27"/>
  <c r="L49" i="27"/>
  <c r="L48" i="27"/>
  <c r="N48" i="27" s="1"/>
  <c r="L47" i="27"/>
  <c r="N47" i="27" s="1"/>
  <c r="L46" i="27"/>
  <c r="N46" i="27" s="1"/>
  <c r="L45" i="27"/>
  <c r="N45" i="27" s="1"/>
  <c r="O44" i="27"/>
  <c r="L44" i="27"/>
  <c r="N44" i="27" s="1"/>
  <c r="L40" i="27"/>
  <c r="N40" i="27" s="1"/>
  <c r="O39" i="27"/>
  <c r="L39" i="27"/>
  <c r="N39" i="27" s="1"/>
  <c r="L38" i="27"/>
  <c r="N38" i="27" s="1"/>
  <c r="O37" i="27"/>
  <c r="L37" i="27"/>
  <c r="N37" i="27" s="1"/>
  <c r="L36" i="27"/>
  <c r="N36" i="27" s="1"/>
  <c r="O35" i="27"/>
  <c r="L35" i="27"/>
  <c r="N35" i="27" s="1"/>
  <c r="L34" i="27"/>
  <c r="N34" i="27" s="1"/>
  <c r="O33" i="27"/>
  <c r="L33" i="27"/>
  <c r="N33" i="27" s="1"/>
  <c r="L32" i="27"/>
  <c r="N32" i="27" s="1"/>
  <c r="O31" i="27"/>
  <c r="L31" i="27"/>
  <c r="K26" i="27"/>
  <c r="J26" i="27"/>
  <c r="I26" i="27"/>
  <c r="H26" i="27"/>
  <c r="G26" i="27"/>
  <c r="F26" i="27"/>
  <c r="E26" i="27"/>
  <c r="D26" i="27"/>
  <c r="C26" i="27"/>
  <c r="C27" i="27" s="1"/>
  <c r="L25" i="27"/>
  <c r="N25" i="27" s="1"/>
  <c r="N24" i="27"/>
  <c r="L24" i="27"/>
  <c r="L22" i="27"/>
  <c r="N22" i="27" s="1"/>
  <c r="L21" i="27"/>
  <c r="N21" i="27" s="1"/>
  <c r="L20" i="27"/>
  <c r="N20" i="27" s="1"/>
  <c r="L19" i="27"/>
  <c r="N19" i="27" s="1"/>
  <c r="L18" i="27"/>
  <c r="N18" i="27" s="1"/>
  <c r="N15" i="27"/>
  <c r="L15" i="27"/>
  <c r="L13" i="27"/>
  <c r="N13" i="27" s="1"/>
  <c r="L12" i="27"/>
  <c r="L11" i="27"/>
  <c r="L10" i="27"/>
  <c r="L26" i="27" l="1"/>
  <c r="N12" i="27"/>
  <c r="N10" i="27"/>
  <c r="N26" i="27" s="1"/>
  <c r="L132" i="27"/>
  <c r="M26" i="27"/>
  <c r="C141" i="27" s="1"/>
  <c r="O20" i="27"/>
  <c r="O85" i="27"/>
  <c r="O97" i="27"/>
  <c r="O109" i="27"/>
  <c r="O46" i="27"/>
  <c r="O58" i="27"/>
  <c r="O101" i="27"/>
  <c r="O113" i="27"/>
  <c r="O66" i="27"/>
  <c r="O81" i="27"/>
  <c r="O93" i="27"/>
  <c r="O54" i="27"/>
  <c r="O70" i="27"/>
  <c r="O89" i="27"/>
  <c r="O105" i="27"/>
  <c r="O128" i="27"/>
  <c r="C142" i="27"/>
  <c r="O19" i="27"/>
  <c r="O34" i="27"/>
  <c r="O38" i="27"/>
  <c r="O45" i="27"/>
  <c r="O49" i="27"/>
  <c r="O53" i="27"/>
  <c r="O57" i="27"/>
  <c r="O61" i="27"/>
  <c r="O65" i="27"/>
  <c r="O69" i="27"/>
  <c r="O73" i="27"/>
  <c r="O80" i="27"/>
  <c r="O84" i="27"/>
  <c r="O88" i="27"/>
  <c r="O92" i="27"/>
  <c r="O96" i="27"/>
  <c r="O100" i="27"/>
  <c r="O104" i="27"/>
  <c r="O108" i="27"/>
  <c r="O112" i="27"/>
  <c r="O120" i="27"/>
  <c r="O124" i="27"/>
  <c r="O131" i="27"/>
  <c r="O48" i="27"/>
  <c r="O52" i="27"/>
  <c r="O56" i="27"/>
  <c r="O60" i="27"/>
  <c r="O64" i="27"/>
  <c r="O68" i="27"/>
  <c r="O72" i="27"/>
  <c r="O79" i="27"/>
  <c r="O83" i="27"/>
  <c r="O87" i="27"/>
  <c r="O91" i="27"/>
  <c r="O95" i="27"/>
  <c r="O99" i="27"/>
  <c r="O103" i="27"/>
  <c r="O107" i="27"/>
  <c r="O111" i="27"/>
  <c r="O119" i="27"/>
  <c r="O123" i="27"/>
  <c r="O130" i="27"/>
  <c r="N31" i="27"/>
  <c r="N132" i="27" s="1"/>
  <c r="O32" i="27"/>
  <c r="O36" i="27"/>
  <c r="O40" i="27"/>
  <c r="O47" i="27"/>
  <c r="O51" i="27"/>
  <c r="O55" i="27"/>
  <c r="O59" i="27"/>
  <c r="O63" i="27"/>
  <c r="O67" i="27"/>
  <c r="O71" i="27"/>
  <c r="O78" i="27"/>
  <c r="O82" i="27"/>
  <c r="O86" i="27"/>
  <c r="O90" i="27"/>
  <c r="O94" i="27"/>
  <c r="O98" i="27"/>
  <c r="O102" i="27"/>
  <c r="O106" i="27"/>
  <c r="O110" i="27"/>
  <c r="O114" i="27"/>
  <c r="O122" i="27"/>
  <c r="C140" i="25"/>
  <c r="O15" i="27" l="1"/>
  <c r="O12" i="27"/>
  <c r="O13" i="27"/>
  <c r="O22" i="27"/>
  <c r="O10" i="27"/>
  <c r="O21" i="27"/>
  <c r="O25" i="27"/>
  <c r="O24" i="27"/>
  <c r="C143" i="27"/>
  <c r="C155" i="27" s="1"/>
  <c r="C156" i="27" s="1"/>
  <c r="O18" i="27"/>
  <c r="M26" i="25" l="1"/>
  <c r="K26" i="25"/>
  <c r="J26" i="25"/>
  <c r="I26" i="25"/>
  <c r="H26" i="25"/>
  <c r="G26" i="25"/>
  <c r="F26" i="25"/>
  <c r="E26" i="25"/>
  <c r="D26" i="25"/>
  <c r="C26" i="25"/>
  <c r="C27" i="25" s="1"/>
  <c r="L114" i="25" l="1"/>
  <c r="L113" i="25"/>
  <c r="L112" i="25"/>
  <c r="L111" i="25"/>
  <c r="L110" i="25"/>
  <c r="L109" i="25"/>
  <c r="L108" i="25"/>
  <c r="L107" i="25"/>
  <c r="L106" i="25"/>
  <c r="L105" i="25"/>
  <c r="L104" i="25"/>
  <c r="L103" i="25"/>
  <c r="L102" i="25"/>
  <c r="L101" i="25"/>
  <c r="L100" i="25"/>
  <c r="L99" i="25"/>
  <c r="L98" i="25"/>
  <c r="L97" i="25"/>
  <c r="L96" i="25"/>
  <c r="L95" i="25"/>
  <c r="L94" i="25"/>
  <c r="L93" i="25"/>
  <c r="L92" i="25"/>
  <c r="L91" i="25"/>
  <c r="L90" i="25"/>
  <c r="L89" i="25"/>
  <c r="L88" i="25"/>
  <c r="L87" i="25"/>
  <c r="L86" i="25"/>
  <c r="L85" i="25"/>
  <c r="L83" i="25"/>
  <c r="L82" i="25"/>
  <c r="L81" i="25"/>
  <c r="L80" i="25"/>
  <c r="L79" i="25"/>
  <c r="L78" i="25"/>
  <c r="L74" i="25"/>
  <c r="L73" i="25"/>
  <c r="L72" i="25"/>
  <c r="L71" i="25"/>
  <c r="L70" i="25"/>
  <c r="L69" i="25"/>
  <c r="L68" i="25"/>
  <c r="L67" i="25"/>
  <c r="L66" i="25"/>
  <c r="L65" i="25"/>
  <c r="L64" i="25"/>
  <c r="L63" i="25"/>
  <c r="L62" i="25"/>
  <c r="L61" i="25"/>
  <c r="L60" i="25"/>
  <c r="L59" i="25"/>
  <c r="L58" i="25"/>
  <c r="L57" i="25"/>
  <c r="L56" i="25"/>
  <c r="L55" i="25"/>
  <c r="L54" i="25"/>
  <c r="L53" i="25"/>
  <c r="L52" i="25"/>
  <c r="L51" i="25"/>
  <c r="L50" i="25"/>
  <c r="L48" i="25"/>
  <c r="L47" i="25"/>
  <c r="L46" i="25"/>
  <c r="L45" i="25"/>
  <c r="L44" i="25"/>
  <c r="L40" i="25"/>
  <c r="L39" i="25"/>
  <c r="L38" i="25"/>
  <c r="L37" i="25"/>
  <c r="L36" i="25"/>
  <c r="L35" i="25"/>
  <c r="L34" i="25"/>
  <c r="L33" i="25"/>
  <c r="L32" i="25"/>
  <c r="L31" i="25"/>
  <c r="I132" i="25"/>
  <c r="H132" i="25"/>
  <c r="M132" i="25" l="1"/>
  <c r="K132" i="25"/>
  <c r="J132" i="25"/>
  <c r="G132" i="25"/>
  <c r="E132" i="25"/>
  <c r="D132" i="25"/>
  <c r="C132" i="25"/>
  <c r="L131" i="25"/>
  <c r="N131" i="25" s="1"/>
  <c r="L130" i="25"/>
  <c r="N130" i="25" s="1"/>
  <c r="L129" i="25"/>
  <c r="N129" i="25" s="1"/>
  <c r="L128" i="25"/>
  <c r="N128" i="25" s="1"/>
  <c r="L124" i="25"/>
  <c r="N124" i="25" s="1"/>
  <c r="L123" i="25"/>
  <c r="N123" i="25" s="1"/>
  <c r="L122" i="25"/>
  <c r="N122" i="25" s="1"/>
  <c r="L121" i="25"/>
  <c r="N121" i="25" s="1"/>
  <c r="L120" i="25"/>
  <c r="N120" i="25" s="1"/>
  <c r="L119" i="25"/>
  <c r="N119" i="25" s="1"/>
  <c r="N114" i="25"/>
  <c r="N113" i="25"/>
  <c r="N112" i="25"/>
  <c r="N111" i="25"/>
  <c r="N110" i="25"/>
  <c r="N109" i="25"/>
  <c r="N108" i="25"/>
  <c r="N107" i="25"/>
  <c r="N106" i="25"/>
  <c r="N105" i="25"/>
  <c r="N104" i="25"/>
  <c r="N103" i="25"/>
  <c r="N102" i="25"/>
  <c r="N101" i="25"/>
  <c r="N100" i="25"/>
  <c r="N99" i="25"/>
  <c r="N98" i="25"/>
  <c r="N97" i="25"/>
  <c r="N96" i="25"/>
  <c r="N95" i="25"/>
  <c r="N94" i="25"/>
  <c r="N93" i="25"/>
  <c r="N92" i="25"/>
  <c r="N91" i="25"/>
  <c r="N90" i="25"/>
  <c r="N89" i="25"/>
  <c r="N88" i="25"/>
  <c r="N87" i="25"/>
  <c r="N86" i="25"/>
  <c r="N85" i="25"/>
  <c r="N83" i="25"/>
  <c r="N82" i="25"/>
  <c r="N81" i="25"/>
  <c r="N80" i="25"/>
  <c r="N79" i="25"/>
  <c r="N78" i="25"/>
  <c r="N74" i="25"/>
  <c r="N73" i="25"/>
  <c r="N72" i="25"/>
  <c r="N71" i="25"/>
  <c r="N70" i="25"/>
  <c r="N69" i="25"/>
  <c r="N68" i="25"/>
  <c r="N67" i="25"/>
  <c r="N66" i="25"/>
  <c r="N65" i="25"/>
  <c r="N64" i="25"/>
  <c r="N63" i="25"/>
  <c r="N62" i="25"/>
  <c r="N61" i="25"/>
  <c r="N60" i="25"/>
  <c r="N59" i="25"/>
  <c r="N58" i="25"/>
  <c r="N57" i="25"/>
  <c r="N56" i="25"/>
  <c r="N55" i="25"/>
  <c r="N54" i="25"/>
  <c r="N53" i="25"/>
  <c r="N52" i="25"/>
  <c r="N51" i="25"/>
  <c r="N50" i="25"/>
  <c r="N48" i="25"/>
  <c r="N47" i="25"/>
  <c r="N46" i="25"/>
  <c r="N45" i="25"/>
  <c r="N44" i="25"/>
  <c r="N40" i="25"/>
  <c r="N39" i="25"/>
  <c r="N38" i="25"/>
  <c r="N37" i="25"/>
  <c r="N36" i="25"/>
  <c r="N35" i="25"/>
  <c r="N34" i="25"/>
  <c r="N33" i="25"/>
  <c r="N32" i="25"/>
  <c r="N31" i="25"/>
  <c r="O22" i="25"/>
  <c r="L22" i="25"/>
  <c r="N22" i="25" s="1"/>
  <c r="L21" i="25"/>
  <c r="N21" i="25" s="1"/>
  <c r="L20" i="25"/>
  <c r="N20" i="25" s="1"/>
  <c r="L19" i="25"/>
  <c r="N19" i="25" s="1"/>
  <c r="L18" i="25"/>
  <c r="N18" i="25" s="1"/>
  <c r="L15" i="25"/>
  <c r="N15" i="25" s="1"/>
  <c r="L13" i="25"/>
  <c r="N13" i="25" s="1"/>
  <c r="L12" i="25"/>
  <c r="N12" i="25" s="1"/>
  <c r="L11" i="25"/>
  <c r="L10" i="25"/>
  <c r="L25" i="25"/>
  <c r="N25" i="25" s="1"/>
  <c r="L24" i="25"/>
  <c r="C142" i="25" l="1"/>
  <c r="N10" i="25"/>
  <c r="L26" i="25"/>
  <c r="O21" i="25"/>
  <c r="L49" i="25"/>
  <c r="N49" i="25" s="1"/>
  <c r="L84" i="25"/>
  <c r="N84" i="25" s="1"/>
  <c r="O37" i="25"/>
  <c r="O48" i="25"/>
  <c r="O81" i="25"/>
  <c r="O31" i="25"/>
  <c r="O87" i="25"/>
  <c r="O99" i="25"/>
  <c r="O95" i="25"/>
  <c r="O44" i="25"/>
  <c r="O91" i="25"/>
  <c r="O106" i="25"/>
  <c r="O119" i="25"/>
  <c r="O36" i="25"/>
  <c r="O40" i="25"/>
  <c r="O47" i="25"/>
  <c r="O86" i="25"/>
  <c r="O90" i="25"/>
  <c r="O94" i="25"/>
  <c r="O98" i="25"/>
  <c r="O102" i="25"/>
  <c r="O111" i="25"/>
  <c r="O122" i="25"/>
  <c r="O49" i="25"/>
  <c r="O53" i="25"/>
  <c r="O57" i="25"/>
  <c r="O61" i="25"/>
  <c r="O65" i="25"/>
  <c r="O69" i="25"/>
  <c r="O73" i="25"/>
  <c r="O107" i="25"/>
  <c r="O114" i="25"/>
  <c r="O128" i="25"/>
  <c r="O52" i="25"/>
  <c r="O56" i="25"/>
  <c r="O60" i="25"/>
  <c r="O64" i="25"/>
  <c r="O68" i="25"/>
  <c r="O72" i="25"/>
  <c r="O78" i="25"/>
  <c r="O82" i="25"/>
  <c r="O103" i="25"/>
  <c r="O110" i="25"/>
  <c r="O123" i="25"/>
  <c r="O131" i="25"/>
  <c r="O15" i="25"/>
  <c r="N24" i="25"/>
  <c r="F132" i="25"/>
  <c r="O10" i="25"/>
  <c r="O13" i="25"/>
  <c r="O25" i="25"/>
  <c r="O12" i="25"/>
  <c r="O19" i="25"/>
  <c r="O33" i="25"/>
  <c r="O35" i="25"/>
  <c r="O39" i="25"/>
  <c r="O46" i="25"/>
  <c r="O51" i="25"/>
  <c r="O55" i="25"/>
  <c r="O59" i="25"/>
  <c r="O63" i="25"/>
  <c r="O67" i="25"/>
  <c r="O71" i="25"/>
  <c r="O80" i="25"/>
  <c r="O85" i="25"/>
  <c r="O89" i="25"/>
  <c r="O93" i="25"/>
  <c r="O97" i="25"/>
  <c r="O101" i="25"/>
  <c r="O105" i="25"/>
  <c r="O109" i="25"/>
  <c r="O113" i="25"/>
  <c r="O121" i="25"/>
  <c r="O130" i="25"/>
  <c r="C141" i="25"/>
  <c r="C143" i="25" s="1"/>
  <c r="O20" i="25"/>
  <c r="O24" i="25"/>
  <c r="O18" i="25"/>
  <c r="O32" i="25"/>
  <c r="O34" i="25"/>
  <c r="O38" i="25"/>
  <c r="O45" i="25"/>
  <c r="O50" i="25"/>
  <c r="O54" i="25"/>
  <c r="O58" i="25"/>
  <c r="O62" i="25"/>
  <c r="O66" i="25"/>
  <c r="O70" i="25"/>
  <c r="O74" i="25"/>
  <c r="O79" i="25"/>
  <c r="O83" i="25"/>
  <c r="O84" i="25"/>
  <c r="O88" i="25"/>
  <c r="O92" i="25"/>
  <c r="O96" i="25"/>
  <c r="O100" i="25"/>
  <c r="O104" i="25"/>
  <c r="O108" i="25"/>
  <c r="O112" i="25"/>
  <c r="O120" i="25"/>
  <c r="O124" i="25"/>
  <c r="O129" i="25"/>
  <c r="N26" i="25" l="1"/>
  <c r="N132" i="25"/>
  <c r="L132" i="25"/>
  <c r="C152" i="25"/>
  <c r="C155" i="25" s="1"/>
  <c r="C156" i="25" s="1"/>
</calcChain>
</file>

<file path=xl/sharedStrings.xml><?xml version="1.0" encoding="utf-8"?>
<sst xmlns="http://schemas.openxmlformats.org/spreadsheetml/2006/main" count="3115" uniqueCount="287">
  <si>
    <t>ASOCIACIÓN DEPORTIVA NACIONAL DE TIRO CON ARMAS DE CAZA</t>
  </si>
  <si>
    <t>EJECUCIÓN PRESUPUESTARIA</t>
  </si>
  <si>
    <t>(Cifras expresadas en quetzales)</t>
  </si>
  <si>
    <t>No.</t>
  </si>
  <si>
    <t xml:space="preserve">DESCRIPCIÓN </t>
  </si>
  <si>
    <t>Presupuesto</t>
  </si>
  <si>
    <t>Modificación I</t>
  </si>
  <si>
    <t>Modificación II</t>
  </si>
  <si>
    <t>Ejecutado</t>
  </si>
  <si>
    <t xml:space="preserve">Disponible  o </t>
  </si>
  <si>
    <t>Porcen-</t>
  </si>
  <si>
    <t>Renglón</t>
  </si>
  <si>
    <t>Autorizado</t>
  </si>
  <si>
    <t>Aumento</t>
  </si>
  <si>
    <t>Disminución</t>
  </si>
  <si>
    <t>Vigente</t>
  </si>
  <si>
    <t>Pend. Recibir</t>
  </si>
  <si>
    <t>taje</t>
  </si>
  <si>
    <t>Modificación III</t>
  </si>
  <si>
    <t>11.9.90-01</t>
  </si>
  <si>
    <t>11.9.90-03</t>
  </si>
  <si>
    <t>11.9.90-04</t>
  </si>
  <si>
    <t>16.2.20-01</t>
  </si>
  <si>
    <t>Aporte CDAG Anual</t>
  </si>
  <si>
    <t>16.2.20-02</t>
  </si>
  <si>
    <t>16.2.20-03</t>
  </si>
  <si>
    <t>Aporte COG</t>
  </si>
  <si>
    <t>16.2.20-04</t>
  </si>
  <si>
    <t>Aporte Extraoridinario CDAG Juegos Nacionales</t>
  </si>
  <si>
    <t>11.9.90-02</t>
  </si>
  <si>
    <t>Impresión de boletaje</t>
  </si>
  <si>
    <t>16.2.20-05</t>
  </si>
  <si>
    <t>Aporte Extraordinario CDAG</t>
  </si>
  <si>
    <t>Aporte COG - SO</t>
  </si>
  <si>
    <t>TOTAL INGRESOS</t>
  </si>
  <si>
    <t>No. Ren.</t>
  </si>
  <si>
    <t>EGRESOS</t>
  </si>
  <si>
    <t>SERVICIOS  PERSONALES.</t>
  </si>
  <si>
    <t>011</t>
  </si>
  <si>
    <t>014</t>
  </si>
  <si>
    <t>015</t>
  </si>
  <si>
    <t>035</t>
  </si>
  <si>
    <t>Retribuciones a Destajo</t>
  </si>
  <si>
    <t>041</t>
  </si>
  <si>
    <t>051</t>
  </si>
  <si>
    <t>052</t>
  </si>
  <si>
    <t>071</t>
  </si>
  <si>
    <t>Aguinaldo</t>
  </si>
  <si>
    <t>072</t>
  </si>
  <si>
    <t>073</t>
  </si>
  <si>
    <t>Bono Vacacional</t>
  </si>
  <si>
    <t>SERVICIOS  NO  PERSONALES.</t>
  </si>
  <si>
    <t>Energía Eléctrica</t>
  </si>
  <si>
    <t>Telefonía</t>
  </si>
  <si>
    <t>Correos y Telégrafos</t>
  </si>
  <si>
    <t>Otros Viáticos y Gastos Conexos</t>
  </si>
  <si>
    <t>Fletes</t>
  </si>
  <si>
    <t>Almacenaje</t>
  </si>
  <si>
    <t>Derechos Bienes Intangibles</t>
  </si>
  <si>
    <t>Servicios de Capacitación</t>
  </si>
  <si>
    <t>Otros Estudios y Servicios</t>
  </si>
  <si>
    <t>Impuestos Derechos y Tasas</t>
  </si>
  <si>
    <t>MATERIALES Y SUMINISTROS.</t>
  </si>
  <si>
    <t>Alimentos para Personas</t>
  </si>
  <si>
    <t>Acabados Textiles</t>
  </si>
  <si>
    <t>Prendas de Vestir</t>
  </si>
  <si>
    <t>Papel de Escritorio</t>
  </si>
  <si>
    <t>Productos de Papel o Cartón</t>
  </si>
  <si>
    <t>Libros Revistas y Periódicos</t>
  </si>
  <si>
    <t>Artículos de Caucho</t>
  </si>
  <si>
    <t>Combustibles y Lubricantes</t>
  </si>
  <si>
    <t>Tintes, Pinturas y Colorantes</t>
  </si>
  <si>
    <t>Productos de Arcilla</t>
  </si>
  <si>
    <t>Cemento</t>
  </si>
  <si>
    <t>Estructuras Metálicas Acabadas</t>
  </si>
  <si>
    <t>Materiales y Equipos Diversos (Munic)</t>
  </si>
  <si>
    <t>Útiles de Oficina</t>
  </si>
  <si>
    <t>Útiles Deportivos y Recreativos</t>
  </si>
  <si>
    <t>Utiles de Cocina y Comedor</t>
  </si>
  <si>
    <t>Accesorios y Repuestos en General</t>
  </si>
  <si>
    <t>Otros Materiales y Suministros</t>
  </si>
  <si>
    <t>PROPIEDAD, PLANTA, EQUIPO E INTANGIBLES.</t>
  </si>
  <si>
    <t>323</t>
  </si>
  <si>
    <t>TRANSFERENCIAS CORRIENTES.</t>
  </si>
  <si>
    <t>Indemnizaciones al Personal</t>
  </si>
  <si>
    <t>RESUMEN</t>
  </si>
  <si>
    <t>Ejecución Presupuestaria</t>
  </si>
  <si>
    <t>Ingresos Percibidos</t>
  </si>
  <si>
    <t>Egresos Ejecutados</t>
  </si>
  <si>
    <t>Resultado del Ejercicio</t>
  </si>
  <si>
    <t>Rentas Consignadas</t>
  </si>
  <si>
    <t>PRESIDENTE</t>
  </si>
  <si>
    <t xml:space="preserve">TESORERO                       </t>
  </si>
  <si>
    <t>COORDINADORA ADMINISTRATIVA FINANCIERA</t>
  </si>
  <si>
    <t>TOTAL EGRESOS</t>
  </si>
  <si>
    <t>VIVIAN CAROLINA GARCIA MORALES</t>
  </si>
  <si>
    <t>111</t>
  </si>
  <si>
    <t>113</t>
  </si>
  <si>
    <t>114</t>
  </si>
  <si>
    <t>121</t>
  </si>
  <si>
    <t>122</t>
  </si>
  <si>
    <t>131</t>
  </si>
  <si>
    <t>135</t>
  </si>
  <si>
    <t>141</t>
  </si>
  <si>
    <t>142</t>
  </si>
  <si>
    <t>143</t>
  </si>
  <si>
    <t>158</t>
  </si>
  <si>
    <t>162</t>
  </si>
  <si>
    <t>164</t>
  </si>
  <si>
    <t>165</t>
  </si>
  <si>
    <t>168</t>
  </si>
  <si>
    <t>171</t>
  </si>
  <si>
    <t>174</t>
  </si>
  <si>
    <t>181</t>
  </si>
  <si>
    <t>183</t>
  </si>
  <si>
    <t>184</t>
  </si>
  <si>
    <t>185</t>
  </si>
  <si>
    <t>186</t>
  </si>
  <si>
    <t>187</t>
  </si>
  <si>
    <t>188</t>
  </si>
  <si>
    <t>189</t>
  </si>
  <si>
    <t>191</t>
  </si>
  <si>
    <t>194</t>
  </si>
  <si>
    <t>195</t>
  </si>
  <si>
    <t>196</t>
  </si>
  <si>
    <t>199</t>
  </si>
  <si>
    <t>211</t>
  </si>
  <si>
    <t>232</t>
  </si>
  <si>
    <t>233</t>
  </si>
  <si>
    <t>241</t>
  </si>
  <si>
    <t>243</t>
  </si>
  <si>
    <t>244</t>
  </si>
  <si>
    <t>245</t>
  </si>
  <si>
    <t>253</t>
  </si>
  <si>
    <t>254</t>
  </si>
  <si>
    <t>262</t>
  </si>
  <si>
    <t>266</t>
  </si>
  <si>
    <t>267</t>
  </si>
  <si>
    <t>268</t>
  </si>
  <si>
    <t>269</t>
  </si>
  <si>
    <t>271</t>
  </si>
  <si>
    <t>273</t>
  </si>
  <si>
    <t>283</t>
  </si>
  <si>
    <t>284</t>
  </si>
  <si>
    <t>285</t>
  </si>
  <si>
    <t>291</t>
  </si>
  <si>
    <t>292</t>
  </si>
  <si>
    <t>294</t>
  </si>
  <si>
    <t>296</t>
  </si>
  <si>
    <t>297</t>
  </si>
  <si>
    <t>298</t>
  </si>
  <si>
    <t>299</t>
  </si>
  <si>
    <t xml:space="preserve">Descuento Fianza de Fidelidad sueldos </t>
  </si>
  <si>
    <t>ISR Retenido Actividades Lucrativas</t>
  </si>
  <si>
    <t>ISR Retenido sobre rentas del trabajo</t>
  </si>
  <si>
    <t xml:space="preserve"> </t>
  </si>
  <si>
    <t>IGSS Cuota Patronos, trabajadores  e Intecap por Pagar</t>
  </si>
  <si>
    <t>Servicios de Vigilancia</t>
  </si>
  <si>
    <t>DEL 01 DE ENERO AL 31 DE ENERO DE 2020</t>
  </si>
  <si>
    <t>Personal Permanente</t>
  </si>
  <si>
    <t>Complemento Calidad Profesional al Personal Permanente</t>
  </si>
  <si>
    <t>Complementos Específicos al Personal Permanente</t>
  </si>
  <si>
    <t>Servicios extraordinarios de personal permanente</t>
  </si>
  <si>
    <t>Aporte patronal al IGSS</t>
  </si>
  <si>
    <t>Aporte patronal al Intecap</t>
  </si>
  <si>
    <t>Bonificación Anual (Bono 14)</t>
  </si>
  <si>
    <t>Divulgación e Información</t>
  </si>
  <si>
    <t>Impresión, Encuadernación y Reproducción</t>
  </si>
  <si>
    <t>Viáticos en el Exterior</t>
  </si>
  <si>
    <t>Transporte de Personas</t>
  </si>
  <si>
    <t>Mantenimiento y Reparación de Equipo de Oficina</t>
  </si>
  <si>
    <t>Mantenimiento y Reparación de Equipos Educacionales y Recreativos</t>
  </si>
  <si>
    <t>Mantenimiento y Reparación de Medios de Transporte</t>
  </si>
  <si>
    <t>Mantenimiento y Reparación de Equipo de Cómputo</t>
  </si>
  <si>
    <t>Mantenimiento y Reparación de Edificios</t>
  </si>
  <si>
    <t>Mantenimiento y Reparación de Instalaciones</t>
  </si>
  <si>
    <t>Estudios, Invest. Proyectos Pre-Factibilidad y Factibilidad</t>
  </si>
  <si>
    <t>Servicios Jurídicos</t>
  </si>
  <si>
    <t>Servicios Económicos, Financieros, Contables y Auditoría</t>
  </si>
  <si>
    <t>Servicios de Informática y Sistemas Computarizados</t>
  </si>
  <si>
    <t>Servicios por Actuaciones Artísticas y Deportivas</t>
  </si>
  <si>
    <t>Servicios de Ingeniería, Arquitectura y Supervisión de Obras</t>
  </si>
  <si>
    <t>Primas y Gastos de Seguros y Fianzas</t>
  </si>
  <si>
    <t>Gastos Bancarios, Comisiones y Otros Gastos</t>
  </si>
  <si>
    <t>Servicios de Atención y Protocolo</t>
  </si>
  <si>
    <t>197</t>
  </si>
  <si>
    <t>Otros Servicios</t>
  </si>
  <si>
    <t>Otros Ingresos No Tributarios</t>
  </si>
  <si>
    <t>Cuota de afiliación</t>
  </si>
  <si>
    <t>Aporte donación de Socios para Cartuchos,Platillo y Otros</t>
  </si>
  <si>
    <t>Aporte donación de Jóvenes de Escuela de Vacaciones</t>
  </si>
  <si>
    <t>Rentas de la Propiedad</t>
  </si>
  <si>
    <t>15.1.30</t>
  </si>
  <si>
    <t>Disminución de Disponibilidades</t>
  </si>
  <si>
    <t>Saldo de Caja ASOTAC</t>
  </si>
  <si>
    <t>23.1.10-03</t>
  </si>
  <si>
    <t>23.1.10-01</t>
  </si>
  <si>
    <t>Saldo Caja Aporte Extra. CDAG</t>
  </si>
  <si>
    <t>Productos Agroforestales, Madera, Corcho y sus Manufacturas</t>
  </si>
  <si>
    <t>Piedra, Arcilla y Arena</t>
  </si>
  <si>
    <t>Otros Minerales</t>
  </si>
  <si>
    <t>Productos de Artes Gráficas</t>
  </si>
  <si>
    <t>Llantas y Neumáticos</t>
  </si>
  <si>
    <t>261</t>
  </si>
  <si>
    <t>Elementos y Compuestos Químicos</t>
  </si>
  <si>
    <t>Productos Medicinales y Farmacéuticos</t>
  </si>
  <si>
    <t>Productos Plásticos, Nylon, Vinil y PVC</t>
  </si>
  <si>
    <t>Otros Productos Químicos y Conexos</t>
  </si>
  <si>
    <t>Productos de Vidrio</t>
  </si>
  <si>
    <t>Productos de Loza y Porcelana</t>
  </si>
  <si>
    <t>Productos de Cemento, Pómez, Asbesto y Yeso</t>
  </si>
  <si>
    <t>Otros Productos de Minerales no Metálicos</t>
  </si>
  <si>
    <t>Productos Siderúrgicos</t>
  </si>
  <si>
    <t>Productos de Metal y sus Aleaciones</t>
  </si>
  <si>
    <t>Herramientas Menores</t>
  </si>
  <si>
    <t>Otros Productos Metálicos</t>
  </si>
  <si>
    <t>Productos Sanitarios, de Limpieza y de Uso Personal</t>
  </si>
  <si>
    <t>Materiales, Productos y Accesorios Eléctricos, Cableado Estructurado de Redes Informáticas y Telefónicas</t>
  </si>
  <si>
    <t>322</t>
  </si>
  <si>
    <t>Mobiliario y Equipo de Oficina</t>
  </si>
  <si>
    <t>Mobiliario y Equipo Médico-Sanitario y de Laboratorio</t>
  </si>
  <si>
    <t>324</t>
  </si>
  <si>
    <t>Equipo Educacional, Cultural y Recreativo (ESC</t>
  </si>
  <si>
    <t>326</t>
  </si>
  <si>
    <t>Equipo para Comunicaciones</t>
  </si>
  <si>
    <t>329</t>
  </si>
  <si>
    <t>Otras Maquinarias y Equipos</t>
  </si>
  <si>
    <t>332</t>
  </si>
  <si>
    <t>Construcciones de Bienes Nacionales de Uso no Común</t>
  </si>
  <si>
    <t>413</t>
  </si>
  <si>
    <t>415</t>
  </si>
  <si>
    <t>Vacaciones Pagadas por Retiro</t>
  </si>
  <si>
    <t>419</t>
  </si>
  <si>
    <t>Otras Transferencias a Personas Individuales</t>
  </si>
  <si>
    <t>472</t>
  </si>
  <si>
    <t>Transferencias a Organismos e Instituciones Internacionales</t>
  </si>
  <si>
    <t>Saldo en Caja al 31 de Diciembre de 2019</t>
  </si>
  <si>
    <t>SALDO EN CAJA AL 31 DE ENERO DE 2020</t>
  </si>
  <si>
    <t>Guatemala, 31 de Enero de 2020</t>
  </si>
  <si>
    <t>JORGE AUGUSTO CONTRERAS ROLDÁN</t>
  </si>
  <si>
    <t>MARCO ANTONIO GÓMEZ ESTRADA</t>
  </si>
  <si>
    <t>Aporte de Entidades Descentralizadas y Autónomas</t>
  </si>
  <si>
    <t>16</t>
  </si>
  <si>
    <t>TRANSFERENCIAS CORRIENTES</t>
  </si>
  <si>
    <t>16.2.20</t>
  </si>
  <si>
    <t>Por Depósitos (cuentas bancarias)</t>
  </si>
  <si>
    <t>DEL 01 DE ENERO AL 29 DE FEBRERO DE 2020</t>
  </si>
  <si>
    <t>SALDO EN CAJA AL 29 DE FEBRERO DE 2020</t>
  </si>
  <si>
    <t>Guatemala, 29 de Febrero de 2020</t>
  </si>
  <si>
    <t xml:space="preserve">Transferencia Laporte Ball-Trap, compra consola electrónica modelo F5, 2 reloj de finales (Timer For Timer Out)  y 4 microprocesadores (Micro For F5). </t>
  </si>
  <si>
    <t>DEL 01 DE ENERO AL 31 DE MARZO DE 2020</t>
  </si>
  <si>
    <t>SALDO EN CAJA AL 31 DE MARZO DE 2020</t>
  </si>
  <si>
    <t>Guatemala, 31 de Marzo de 2020</t>
  </si>
  <si>
    <t>Descuento Judicial Embargo Precautorio Toribio Del Cid</t>
  </si>
  <si>
    <t>Equipo de computación</t>
  </si>
  <si>
    <t>Servicios Médico - Sanitarios</t>
  </si>
  <si>
    <t>Implementos Deportivos en Camino 2019: Consola y Reloj de Finales del 27/11/2019, y los Q. 40 estados de cta G&amp;T Polígono</t>
  </si>
  <si>
    <t>SALDO EN CAJA AL 3O DE ABRIL DE 2020</t>
  </si>
  <si>
    <t>Guatemala, 13 de Mayo de 2020</t>
  </si>
  <si>
    <t>ELMER ARTURO VENTURA</t>
  </si>
  <si>
    <t>COORDINADOR ADMINISTRATIVO FINANCIERO</t>
  </si>
  <si>
    <t>DEL 01 DE ENERO AL 30 DE ABRIL DE 2020</t>
  </si>
  <si>
    <t>DEL 01 DE ENERO AL 31 DE MAYO DE 2020</t>
  </si>
  <si>
    <t>SALDO EN CAJA AL 31 DE MAYO DE 2020</t>
  </si>
  <si>
    <t>DEL 01 DE ENERO AL 30 DE JUNIO DE 2020</t>
  </si>
  <si>
    <t>DEL 01 DE ENERO AL 31 DE JULIO DE 2020</t>
  </si>
  <si>
    <t>SALDO EN CAJA AL 30 DE JUNIO DE 2020</t>
  </si>
  <si>
    <t>Reembolso a Comité Olimpico Fondos 2019</t>
  </si>
  <si>
    <t>SALDO EN CAJA AL 31 DE JULIO DE 2020</t>
  </si>
  <si>
    <t>Elmer Arturo Ventura</t>
  </si>
  <si>
    <t>Coordinador Administrativo Financiero</t>
  </si>
  <si>
    <t xml:space="preserve">Mantenimiento y Reparación de Otras Maquinaria </t>
  </si>
  <si>
    <t>DEL 01 DE ENERO AL 31 DE AGOSTO DE 2020</t>
  </si>
  <si>
    <t>Pendiente de Operar Traslado COG Segundo Cuatrimestre</t>
  </si>
  <si>
    <t>SALDO EN CAJA AL 31 DE AGOSTO DE 2020</t>
  </si>
  <si>
    <t>DEL 01 DE ENERO AL 30 DE SEPTIEMBRE DE 2020</t>
  </si>
  <si>
    <t>SALDO EN CAJA AL 30 DE SEPTIEMBRE DE 2020</t>
  </si>
  <si>
    <t>Reembolso a Comité Olimpico Fondos Viajes Italia y Chipre</t>
  </si>
  <si>
    <t>DEL 01 DE ENERO AL 31 DE OCTUBRE DE 2020</t>
  </si>
  <si>
    <t>SALDO EN CAJA AL 31 DE OCTUBRE DE 2020</t>
  </si>
  <si>
    <t>Reembolso a Comité Olimpico Fondos 2020</t>
  </si>
  <si>
    <t>ING. JORGE AUGUSTO CONTRERAS ROLDÁN</t>
  </si>
  <si>
    <t>Modificación IV</t>
  </si>
  <si>
    <t>DEL 01 DE ENERO AL 30 DE NOVIEMBRE DE 2020</t>
  </si>
  <si>
    <t>SALDO EN CAJA AL 30 DE NOVIEMBRE DE 2020</t>
  </si>
  <si>
    <t>DEL 01 DE ENERO AL 31 DE DICIEMBRE DE 2020</t>
  </si>
  <si>
    <t>SALDO EN CAJA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</si>
</sst>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.5"/>
      <color theme="1"/>
      <name val="Arial"/>
      <family val="2"/>
    </font>
    <font>
      <sz val="11.5"/>
      <color theme="1"/>
      <name val="Arial"/>
      <family val="2"/>
    </font>
    <font>
      <b/>
      <sz val="12"/>
      <color rgb="FF0000CC"/>
      <name val="Arial"/>
      <family val="2"/>
    </font>
    <font>
      <sz val="12"/>
      <name val="Arial"/>
      <family val="2"/>
    </font>
    <font>
      <sz val="11.5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11.5"/>
      <name val="Arial"/>
      <family val="2"/>
    </font>
    <font>
      <sz val="5"/>
      <color theme="1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1.5"/>
      <color theme="0"/>
      <name val="Arial"/>
      <family val="2"/>
    </font>
    <font>
      <sz val="11.5"/>
      <color rgb="FFFF0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106">
    <xf numFmtId="0" fontId="0" fillId="0" borderId="0" xfId="0"/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43" fontId="3" fillId="0" borderId="4" xfId="0" applyNumberFormat="1" applyFont="1" applyFill="1" applyBorder="1" applyAlignment="1">
      <alignment horizontal="centerContinuous"/>
    </xf>
    <xf numFmtId="43" fontId="4" fillId="0" borderId="0" xfId="0" applyNumberFormat="1" applyFont="1" applyFill="1"/>
    <xf numFmtId="0" fontId="3" fillId="0" borderId="15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43" fontId="3" fillId="0" borderId="16" xfId="0" applyNumberFormat="1" applyFont="1" applyFill="1" applyBorder="1" applyAlignment="1">
      <alignment horizontal="centerContinuous"/>
    </xf>
    <xf numFmtId="0" fontId="4" fillId="0" borderId="5" xfId="0" applyFont="1" applyFill="1" applyBorder="1"/>
    <xf numFmtId="0" fontId="4" fillId="0" borderId="6" xfId="0" applyFont="1" applyFill="1" applyBorder="1"/>
    <xf numFmtId="43" fontId="4" fillId="0" borderId="7" xfId="0" applyNumberFormat="1" applyFont="1" applyFill="1" applyBorder="1"/>
    <xf numFmtId="0" fontId="4" fillId="0" borderId="0" xfId="0" applyFont="1" applyFill="1"/>
    <xf numFmtId="43" fontId="10" fillId="0" borderId="0" xfId="0" applyNumberFormat="1" applyFont="1" applyFill="1"/>
    <xf numFmtId="0" fontId="4" fillId="0" borderId="0" xfId="0" applyFont="1" applyFill="1" applyAlignment="1">
      <alignment horizontal="left" indent="7"/>
    </xf>
    <xf numFmtId="164" fontId="11" fillId="0" borderId="0" xfId="1" applyFont="1" applyFill="1"/>
    <xf numFmtId="164" fontId="4" fillId="0" borderId="0" xfId="0" applyNumberFormat="1" applyFont="1" applyFill="1"/>
    <xf numFmtId="0" fontId="3" fillId="0" borderId="0" xfId="0" applyFont="1" applyFill="1" applyAlignment="1">
      <alignment horizontal="centerContinuous"/>
    </xf>
    <xf numFmtId="0" fontId="3" fillId="0" borderId="0" xfId="0" applyFont="1" applyFill="1"/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Continuous"/>
    </xf>
    <xf numFmtId="0" fontId="3" fillId="0" borderId="10" xfId="0" applyFont="1" applyFill="1" applyBorder="1" applyAlignment="1">
      <alignment horizontal="centerContinuous"/>
    </xf>
    <xf numFmtId="0" fontId="3" fillId="0" borderId="1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/>
    <xf numFmtId="164" fontId="5" fillId="0" borderId="12" xfId="1" applyFont="1" applyFill="1" applyBorder="1"/>
    <xf numFmtId="0" fontId="5" fillId="0" borderId="12" xfId="0" applyFont="1" applyFill="1" applyBorder="1"/>
    <xf numFmtId="0" fontId="3" fillId="0" borderId="13" xfId="0" applyFont="1" applyFill="1" applyBorder="1"/>
    <xf numFmtId="164" fontId="5" fillId="0" borderId="13" xfId="1" applyFont="1" applyFill="1" applyBorder="1"/>
    <xf numFmtId="9" fontId="5" fillId="0" borderId="13" xfId="2" applyFont="1" applyFill="1" applyBorder="1"/>
    <xf numFmtId="164" fontId="6" fillId="0" borderId="13" xfId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164" fontId="6" fillId="0" borderId="14" xfId="1" applyFont="1" applyFill="1" applyBorder="1"/>
    <xf numFmtId="0" fontId="4" fillId="0" borderId="1" xfId="0" applyFont="1" applyFill="1" applyBorder="1"/>
    <xf numFmtId="0" fontId="3" fillId="0" borderId="1" xfId="0" applyFont="1" applyFill="1" applyBorder="1"/>
    <xf numFmtId="164" fontId="5" fillId="0" borderId="1" xfId="1" applyFont="1" applyFill="1" applyBorder="1"/>
    <xf numFmtId="0" fontId="4" fillId="0" borderId="12" xfId="0" applyFont="1" applyFill="1" applyBorder="1"/>
    <xf numFmtId="164" fontId="6" fillId="0" borderId="12" xfId="1" applyFont="1" applyFill="1" applyBorder="1"/>
    <xf numFmtId="9" fontId="6" fillId="0" borderId="12" xfId="2" applyFont="1" applyFill="1" applyBorder="1"/>
    <xf numFmtId="9" fontId="6" fillId="0" borderId="13" xfId="2" applyFont="1" applyFill="1" applyBorder="1"/>
    <xf numFmtId="0" fontId="7" fillId="0" borderId="13" xfId="0" applyFont="1" applyFill="1" applyBorder="1" applyAlignment="1">
      <alignment horizontal="left" indent="2"/>
    </xf>
    <xf numFmtId="0" fontId="7" fillId="0" borderId="13" xfId="0" applyFont="1" applyFill="1" applyBorder="1"/>
    <xf numFmtId="0" fontId="4" fillId="0" borderId="13" xfId="0" applyFont="1" applyFill="1" applyBorder="1" applyAlignment="1">
      <alignment horizontal="left" indent="2"/>
    </xf>
    <xf numFmtId="0" fontId="8" fillId="0" borderId="13" xfId="0" applyFont="1" applyFill="1" applyBorder="1" applyAlignment="1">
      <alignment horizontal="left" indent="2"/>
    </xf>
    <xf numFmtId="0" fontId="8" fillId="0" borderId="13" xfId="0" applyFont="1" applyFill="1" applyBorder="1"/>
    <xf numFmtId="164" fontId="9" fillId="0" borderId="13" xfId="1" applyFont="1" applyFill="1" applyBorder="1"/>
    <xf numFmtId="9" fontId="6" fillId="0" borderId="1" xfId="2" applyFont="1" applyFill="1" applyBorder="1"/>
    <xf numFmtId="0" fontId="4" fillId="0" borderId="0" xfId="0" applyFont="1" applyFill="1" applyAlignment="1">
      <alignment horizontal="left" indent="2"/>
    </xf>
    <xf numFmtId="43" fontId="2" fillId="0" borderId="0" xfId="0" applyNumberFormat="1" applyFont="1" applyFill="1"/>
    <xf numFmtId="0" fontId="4" fillId="0" borderId="0" xfId="0" applyFont="1" applyFill="1" applyAlignment="1">
      <alignment horizontal="left" indent="6"/>
    </xf>
    <xf numFmtId="0" fontId="8" fillId="0" borderId="2" xfId="0" applyFont="1" applyFill="1" applyBorder="1"/>
    <xf numFmtId="0" fontId="8" fillId="0" borderId="3" xfId="0" applyFont="1" applyFill="1" applyBorder="1"/>
    <xf numFmtId="164" fontId="8" fillId="0" borderId="4" xfId="0" applyNumberFormat="1" applyFont="1" applyFill="1" applyBorder="1"/>
    <xf numFmtId="0" fontId="12" fillId="0" borderId="15" xfId="0" applyFont="1" applyFill="1" applyBorder="1" applyAlignment="1">
      <alignment horizontal="left" indent="1"/>
    </xf>
    <xf numFmtId="0" fontId="8" fillId="0" borderId="0" xfId="0" applyFont="1" applyFill="1" applyBorder="1"/>
    <xf numFmtId="164" fontId="8" fillId="0" borderId="16" xfId="0" applyNumberFormat="1" applyFont="1" applyFill="1" applyBorder="1"/>
    <xf numFmtId="0" fontId="8" fillId="0" borderId="15" xfId="0" applyFont="1" applyFill="1" applyBorder="1" applyAlignment="1">
      <alignment horizontal="left" indent="1"/>
    </xf>
    <xf numFmtId="0" fontId="13" fillId="0" borderId="15" xfId="0" applyFont="1" applyFill="1" applyBorder="1" applyAlignment="1">
      <alignment horizontal="left" indent="1"/>
    </xf>
    <xf numFmtId="0" fontId="13" fillId="0" borderId="0" xfId="0" applyFont="1" applyFill="1" applyBorder="1"/>
    <xf numFmtId="0" fontId="13" fillId="0" borderId="5" xfId="0" applyFont="1" applyFill="1" applyBorder="1" applyAlignment="1">
      <alignment horizontal="left" indent="1"/>
    </xf>
    <xf numFmtId="0" fontId="13" fillId="0" borderId="6" xfId="0" applyFont="1" applyFill="1" applyBorder="1"/>
    <xf numFmtId="0" fontId="8" fillId="0" borderId="0" xfId="0" applyFont="1" applyFill="1"/>
    <xf numFmtId="43" fontId="16" fillId="0" borderId="0" xfId="0" applyNumberFormat="1" applyFont="1" applyFill="1"/>
    <xf numFmtId="164" fontId="4" fillId="0" borderId="0" xfId="1" applyFont="1" applyFill="1"/>
    <xf numFmtId="0" fontId="13" fillId="0" borderId="0" xfId="0" applyFont="1" applyFill="1" applyAlignment="1">
      <alignment horizontal="centerContinuous"/>
    </xf>
    <xf numFmtId="0" fontId="13" fillId="0" borderId="0" xfId="0" applyFont="1" applyFill="1"/>
    <xf numFmtId="0" fontId="13" fillId="0" borderId="9" xfId="0" applyFont="1" applyFill="1" applyBorder="1" applyAlignment="1">
      <alignment horizontal="centerContinuous"/>
    </xf>
    <xf numFmtId="0" fontId="13" fillId="0" borderId="1" xfId="0" applyFont="1" applyFill="1" applyBorder="1" applyAlignment="1">
      <alignment horizontal="center"/>
    </xf>
    <xf numFmtId="164" fontId="9" fillId="0" borderId="12" xfId="1" applyFont="1" applyFill="1" applyBorder="1"/>
    <xf numFmtId="164" fontId="9" fillId="0" borderId="14" xfId="1" applyFont="1" applyFill="1" applyBorder="1"/>
    <xf numFmtId="164" fontId="14" fillId="0" borderId="1" xfId="1" applyFont="1" applyFill="1" applyBorder="1"/>
    <xf numFmtId="43" fontId="17" fillId="0" borderId="0" xfId="0" applyNumberFormat="1" applyFont="1" applyFill="1"/>
    <xf numFmtId="43" fontId="8" fillId="0" borderId="0" xfId="0" applyNumberFormat="1" applyFont="1" applyFill="1"/>
    <xf numFmtId="164" fontId="8" fillId="0" borderId="0" xfId="1" applyFont="1" applyFill="1"/>
    <xf numFmtId="164" fontId="14" fillId="0" borderId="7" xfId="1" applyFont="1" applyFill="1" applyBorder="1"/>
    <xf numFmtId="164" fontId="9" fillId="0" borderId="16" xfId="1" applyFont="1" applyFill="1" applyBorder="1"/>
    <xf numFmtId="164" fontId="9" fillId="0" borderId="17" xfId="1" applyFont="1" applyFill="1" applyBorder="1"/>
    <xf numFmtId="164" fontId="14" fillId="0" borderId="16" xfId="1" applyFont="1" applyFill="1" applyBorder="1"/>
    <xf numFmtId="164" fontId="14" fillId="0" borderId="17" xfId="1" applyFont="1" applyFill="1" applyBorder="1"/>
    <xf numFmtId="0" fontId="13" fillId="0" borderId="11" xfId="0" applyFont="1" applyFill="1" applyBorder="1" applyAlignment="1">
      <alignment horizontal="centerContinuous"/>
    </xf>
    <xf numFmtId="0" fontId="13" fillId="0" borderId="9" xfId="0" applyFont="1" applyFill="1" applyBorder="1" applyAlignment="1">
      <alignment horizontal="center"/>
    </xf>
    <xf numFmtId="0" fontId="8" fillId="0" borderId="0" xfId="0" applyFont="1" applyFill="1" applyAlignment="1">
      <alignment horizontal="left" indent="6"/>
    </xf>
    <xf numFmtId="0" fontId="8" fillId="0" borderId="0" xfId="0" applyFont="1" applyFill="1" applyAlignment="1">
      <alignment horizontal="left" indent="7"/>
    </xf>
    <xf numFmtId="0" fontId="3" fillId="0" borderId="1" xfId="0" applyFont="1" applyFill="1" applyBorder="1" applyAlignment="1">
      <alignment horizontal="centerContinuous"/>
    </xf>
    <xf numFmtId="0" fontId="4" fillId="0" borderId="3" xfId="0" applyFont="1" applyFill="1" applyBorder="1"/>
    <xf numFmtId="164" fontId="15" fillId="0" borderId="3" xfId="0" applyNumberFormat="1" applyFont="1" applyFill="1" applyBorder="1"/>
    <xf numFmtId="0" fontId="4" fillId="0" borderId="0" xfId="0" applyFont="1" applyFill="1" applyBorder="1"/>
    <xf numFmtId="164" fontId="6" fillId="0" borderId="3" xfId="1" applyFont="1" applyFill="1" applyBorder="1"/>
    <xf numFmtId="164" fontId="18" fillId="0" borderId="13" xfId="1" applyFont="1" applyFill="1" applyBorder="1"/>
    <xf numFmtId="43" fontId="4" fillId="0" borderId="15" xfId="0" applyNumberFormat="1" applyFont="1" applyFill="1" applyBorder="1"/>
    <xf numFmtId="43" fontId="4" fillId="0" borderId="0" xfId="0" applyNumberFormat="1" applyFont="1" applyFill="1" applyBorder="1"/>
    <xf numFmtId="164" fontId="9" fillId="0" borderId="15" xfId="1" applyFont="1" applyFill="1" applyBorder="1"/>
    <xf numFmtId="164" fontId="19" fillId="0" borderId="15" xfId="1" applyFont="1" applyFill="1" applyBorder="1"/>
    <xf numFmtId="43" fontId="20" fillId="0" borderId="0" xfId="0" applyNumberFormat="1" applyFont="1" applyFill="1" applyBorder="1"/>
    <xf numFmtId="164" fontId="6" fillId="0" borderId="16" xfId="1" applyFont="1" applyFill="1" applyBorder="1"/>
    <xf numFmtId="164" fontId="6" fillId="0" borderId="15" xfId="1" applyFont="1" applyFill="1" applyBorder="1"/>
    <xf numFmtId="0" fontId="8" fillId="0" borderId="0" xfId="0" applyFont="1" applyFill="1" applyBorder="1" applyAlignment="1">
      <alignment horizontal="left" indent="1"/>
    </xf>
    <xf numFmtId="0" fontId="3" fillId="0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9900"/>
      <color rgb="FF666633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vi/Documents/PRESUPUESTOS/Ejecucion%20Presup-%20Anex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 ENE"/>
      <sheetName val="EGR ENE"/>
      <sheetName val="ING FEB"/>
      <sheetName val="EGR FEB"/>
      <sheetName val="ING MAR"/>
      <sheetName val="EGR MAR"/>
      <sheetName val="ING ABRIL"/>
      <sheetName val="EGR ABRIL"/>
      <sheetName val="ING MAYO "/>
      <sheetName val="EGR MAYO "/>
      <sheetName val="ING JUNIO"/>
      <sheetName val="EGR JUNIO"/>
      <sheetName val="ING JULIO"/>
      <sheetName val="EGR JULIO"/>
      <sheetName val="ING AGOSTO"/>
      <sheetName val="EGR AGOSTO"/>
      <sheetName val="ING SEPTIEMBRE"/>
      <sheetName val="EGR SEPTIEMBRE"/>
      <sheetName val="ING OCTUBRE"/>
      <sheetName val="EGR OCTUBRE"/>
      <sheetName val="ING NOVIEMBRE"/>
      <sheetName val="EGR NOVIEMBRE"/>
      <sheetName val="ING DICIEMBRE"/>
      <sheetName val="EGR DICIE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34">
          <cell r="N134">
            <v>173297.52000000002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3"/>
  <sheetViews>
    <sheetView showGridLines="0" topLeftCell="A139" zoomScale="85" zoomScaleNormal="85" workbookViewId="0">
      <selection activeCell="C156" sqref="C156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9" width="16.42578125" style="11" customWidth="1"/>
    <col min="10" max="11" width="13.42578125" style="62" hidden="1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5"/>
      <c r="K1" s="65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5"/>
      <c r="K2" s="65"/>
      <c r="L2" s="16"/>
      <c r="M2" s="16"/>
      <c r="N2" s="16"/>
      <c r="O2" s="17"/>
    </row>
    <row r="3" spans="1:15" ht="15.75" x14ac:dyDescent="0.25">
      <c r="A3" s="16" t="s">
        <v>158</v>
      </c>
      <c r="B3" s="16"/>
      <c r="C3" s="16"/>
      <c r="D3" s="16"/>
      <c r="E3" s="16"/>
      <c r="F3" s="16"/>
      <c r="G3" s="16"/>
      <c r="H3" s="16"/>
      <c r="I3" s="16"/>
      <c r="J3" s="65"/>
      <c r="K3" s="65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5"/>
      <c r="K4" s="65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6"/>
      <c r="K5" s="66"/>
      <c r="L5" s="17"/>
      <c r="M5" s="17"/>
      <c r="N5" s="17"/>
      <c r="O5" s="17"/>
    </row>
    <row r="6" spans="1:15" ht="16.5" thickBot="1" x14ac:dyDescent="0.3">
      <c r="A6" s="18" t="s">
        <v>3</v>
      </c>
      <c r="B6" s="100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9" t="s">
        <v>18</v>
      </c>
      <c r="I6" s="84"/>
      <c r="J6" s="67" t="s">
        <v>155</v>
      </c>
      <c r="K6" s="80" t="s">
        <v>155</v>
      </c>
      <c r="L6" s="18" t="s">
        <v>5</v>
      </c>
      <c r="M6" s="100" t="s">
        <v>8</v>
      </c>
      <c r="N6" s="18" t="s">
        <v>9</v>
      </c>
      <c r="O6" s="18" t="s">
        <v>10</v>
      </c>
    </row>
    <row r="7" spans="1:15" ht="16.5" thickBot="1" x14ac:dyDescent="0.3">
      <c r="A7" s="21" t="s">
        <v>11</v>
      </c>
      <c r="B7" s="101"/>
      <c r="C7" s="21" t="s">
        <v>12</v>
      </c>
      <c r="D7" s="22" t="s">
        <v>13</v>
      </c>
      <c r="E7" s="22" t="s">
        <v>14</v>
      </c>
      <c r="F7" s="22" t="s">
        <v>13</v>
      </c>
      <c r="G7" s="22" t="s">
        <v>14</v>
      </c>
      <c r="H7" s="22" t="s">
        <v>13</v>
      </c>
      <c r="I7" s="23" t="s">
        <v>14</v>
      </c>
      <c r="J7" s="68" t="s">
        <v>13</v>
      </c>
      <c r="K7" s="81" t="s">
        <v>14</v>
      </c>
      <c r="L7" s="21" t="s">
        <v>15</v>
      </c>
      <c r="M7" s="101"/>
      <c r="N7" s="21" t="s">
        <v>16</v>
      </c>
      <c r="O7" s="21" t="s">
        <v>17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9"/>
      <c r="K8" s="69"/>
      <c r="L8" s="25"/>
      <c r="M8" s="25"/>
      <c r="N8" s="25"/>
      <c r="O8" s="26"/>
    </row>
    <row r="9" spans="1:15" ht="15.95" customHeight="1" x14ac:dyDescent="0.25">
      <c r="A9" s="27"/>
      <c r="B9" s="27" t="s">
        <v>187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19</v>
      </c>
      <c r="B10" s="31" t="s">
        <v>188</v>
      </c>
      <c r="C10" s="30">
        <v>33000</v>
      </c>
      <c r="D10" s="30"/>
      <c r="E10" s="30"/>
      <c r="F10" s="30"/>
      <c r="G10" s="30"/>
      <c r="H10" s="30"/>
      <c r="I10" s="30"/>
      <c r="J10" s="46"/>
      <c r="K10" s="46"/>
      <c r="L10" s="30">
        <f t="shared" ref="L10:L22" si="0">C10+D10-E10+F10-G10+J10-K10</f>
        <v>33000</v>
      </c>
      <c r="M10" s="30">
        <v>13600</v>
      </c>
      <c r="N10" s="30">
        <f t="shared" ref="N10:N22" si="1">L10-M10</f>
        <v>19400</v>
      </c>
      <c r="O10" s="29">
        <f>M10/$M$26</f>
        <v>3.6722835774101313E-2</v>
      </c>
    </row>
    <row r="11" spans="1:15" ht="15.95" hidden="1" customHeight="1" x14ac:dyDescent="0.25">
      <c r="A11" s="31" t="s">
        <v>29</v>
      </c>
      <c r="B11" s="31" t="s">
        <v>30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si="0"/>
        <v>0</v>
      </c>
      <c r="M11" s="30">
        <v>0</v>
      </c>
      <c r="N11" s="30">
        <v>0</v>
      </c>
      <c r="O11" s="29"/>
    </row>
    <row r="12" spans="1:15" ht="15.95" customHeight="1" x14ac:dyDescent="0.25">
      <c r="A12" s="31" t="s">
        <v>20</v>
      </c>
      <c r="B12" s="31" t="s">
        <v>189</v>
      </c>
      <c r="C12" s="30">
        <v>25000</v>
      </c>
      <c r="D12" s="30"/>
      <c r="E12" s="30"/>
      <c r="F12" s="30"/>
      <c r="G12" s="30"/>
      <c r="H12" s="30"/>
      <c r="I12" s="30"/>
      <c r="J12" s="46"/>
      <c r="K12" s="46"/>
      <c r="L12" s="30">
        <f t="shared" si="0"/>
        <v>25000</v>
      </c>
      <c r="M12" s="30">
        <v>400.4</v>
      </c>
      <c r="N12" s="30">
        <f t="shared" si="1"/>
        <v>24599.599999999999</v>
      </c>
      <c r="O12" s="29">
        <f>M12/$M$26</f>
        <v>1.0811634885257474E-3</v>
      </c>
    </row>
    <row r="13" spans="1:15" ht="15.95" customHeight="1" x14ac:dyDescent="0.25">
      <c r="A13" s="31" t="s">
        <v>21</v>
      </c>
      <c r="B13" s="31" t="s">
        <v>190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0"/>
        <v>3500</v>
      </c>
      <c r="M13" s="30">
        <v>0</v>
      </c>
      <c r="N13" s="30">
        <f t="shared" si="1"/>
        <v>3500</v>
      </c>
      <c r="O13" s="29">
        <f>M13/$M$26</f>
        <v>0</v>
      </c>
    </row>
    <row r="14" spans="1:15" ht="15.95" customHeight="1" x14ac:dyDescent="0.25">
      <c r="A14" s="31"/>
      <c r="B14" s="27" t="s">
        <v>191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192</v>
      </c>
      <c r="B15" s="31" t="s">
        <v>245</v>
      </c>
      <c r="C15" s="30">
        <v>3300</v>
      </c>
      <c r="D15" s="30"/>
      <c r="E15" s="30"/>
      <c r="F15" s="30"/>
      <c r="G15" s="30"/>
      <c r="H15" s="30"/>
      <c r="I15" s="30"/>
      <c r="J15" s="46"/>
      <c r="K15" s="46"/>
      <c r="L15" s="30">
        <f t="shared" si="0"/>
        <v>3300</v>
      </c>
      <c r="M15" s="30">
        <v>471.37</v>
      </c>
      <c r="N15" s="30">
        <f t="shared" si="1"/>
        <v>2828.63</v>
      </c>
      <c r="O15" s="29">
        <f>M15/$M$26</f>
        <v>1.2727972866792747E-3</v>
      </c>
    </row>
    <row r="16" spans="1:15" ht="15.95" customHeight="1" x14ac:dyDescent="0.25">
      <c r="A16" s="27" t="s">
        <v>242</v>
      </c>
      <c r="B16" s="27" t="s">
        <v>243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244</v>
      </c>
      <c r="B17" s="27" t="s">
        <v>241</v>
      </c>
      <c r="C17" s="89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22</v>
      </c>
      <c r="B18" s="31" t="s">
        <v>23</v>
      </c>
      <c r="C18" s="30">
        <v>2996512.52</v>
      </c>
      <c r="D18" s="30"/>
      <c r="E18" s="30"/>
      <c r="F18" s="30"/>
      <c r="G18" s="30"/>
      <c r="H18" s="30"/>
      <c r="I18" s="30"/>
      <c r="J18" s="46"/>
      <c r="K18" s="46"/>
      <c r="L18" s="30">
        <f t="shared" si="0"/>
        <v>2996512.52</v>
      </c>
      <c r="M18" s="30">
        <v>355870</v>
      </c>
      <c r="N18" s="30">
        <f t="shared" si="1"/>
        <v>2640642.52</v>
      </c>
      <c r="O18" s="29">
        <f>M18/$M$26</f>
        <v>0.9609232034506936</v>
      </c>
    </row>
    <row r="19" spans="1:15" ht="15.95" hidden="1" customHeight="1" x14ac:dyDescent="0.25">
      <c r="A19" s="31" t="s">
        <v>24</v>
      </c>
      <c r="B19" s="31" t="s">
        <v>32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0"/>
        <v>0</v>
      </c>
      <c r="M19" s="30">
        <v>0</v>
      </c>
      <c r="N19" s="30">
        <f t="shared" si="1"/>
        <v>0</v>
      </c>
      <c r="O19" s="29">
        <f>M19/$M$26</f>
        <v>0</v>
      </c>
    </row>
    <row r="20" spans="1:15" ht="15.95" customHeight="1" x14ac:dyDescent="0.25">
      <c r="A20" s="31" t="s">
        <v>25</v>
      </c>
      <c r="B20" s="31" t="s">
        <v>26</v>
      </c>
      <c r="C20" s="30">
        <v>1809978.55</v>
      </c>
      <c r="D20" s="30"/>
      <c r="E20" s="30"/>
      <c r="F20" s="30"/>
      <c r="G20" s="30"/>
      <c r="H20" s="30"/>
      <c r="I20" s="30"/>
      <c r="J20" s="46"/>
      <c r="K20" s="46"/>
      <c r="L20" s="30">
        <f t="shared" si="0"/>
        <v>1809978.55</v>
      </c>
      <c r="M20" s="30">
        <v>0</v>
      </c>
      <c r="N20" s="30">
        <f t="shared" si="1"/>
        <v>1809978.55</v>
      </c>
      <c r="O20" s="29">
        <f>M20/$M$26</f>
        <v>0</v>
      </c>
    </row>
    <row r="21" spans="1:15" ht="15.95" customHeight="1" x14ac:dyDescent="0.25">
      <c r="A21" s="31" t="s">
        <v>27</v>
      </c>
      <c r="B21" s="31" t="s">
        <v>28</v>
      </c>
      <c r="C21" s="30">
        <v>20000</v>
      </c>
      <c r="D21" s="30"/>
      <c r="E21" s="30"/>
      <c r="F21" s="30"/>
      <c r="G21" s="30"/>
      <c r="H21" s="30"/>
      <c r="I21" s="30"/>
      <c r="J21" s="46"/>
      <c r="K21" s="46"/>
      <c r="L21" s="30">
        <f t="shared" si="0"/>
        <v>20000</v>
      </c>
      <c r="M21" s="30">
        <v>0</v>
      </c>
      <c r="N21" s="30">
        <f t="shared" si="1"/>
        <v>20000</v>
      </c>
      <c r="O21" s="29">
        <f>M21/$M$26</f>
        <v>0</v>
      </c>
    </row>
    <row r="22" spans="1:15" ht="15.95" customHeight="1" x14ac:dyDescent="0.25">
      <c r="A22" s="32" t="s">
        <v>31</v>
      </c>
      <c r="B22" s="32" t="s">
        <v>33</v>
      </c>
      <c r="C22" s="33">
        <v>239501.9</v>
      </c>
      <c r="D22" s="33"/>
      <c r="E22" s="33"/>
      <c r="F22" s="33"/>
      <c r="G22" s="33"/>
      <c r="H22" s="33"/>
      <c r="I22" s="33"/>
      <c r="J22" s="70"/>
      <c r="K22" s="70"/>
      <c r="L22" s="30">
        <f t="shared" si="0"/>
        <v>239501.9</v>
      </c>
      <c r="M22" s="30">
        <v>0</v>
      </c>
      <c r="N22" s="30">
        <f t="shared" si="1"/>
        <v>239501.9</v>
      </c>
      <c r="O22" s="29">
        <f>M22/$M$26</f>
        <v>0</v>
      </c>
    </row>
    <row r="23" spans="1:15" ht="15.95" customHeight="1" x14ac:dyDescent="0.25">
      <c r="A23" s="27"/>
      <c r="B23" s="27" t="s">
        <v>193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28"/>
      <c r="N23" s="28"/>
      <c r="O23" s="29"/>
    </row>
    <row r="24" spans="1:15" ht="15.95" customHeight="1" x14ac:dyDescent="0.25">
      <c r="A24" s="31" t="s">
        <v>196</v>
      </c>
      <c r="B24" s="31" t="s">
        <v>197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/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195</v>
      </c>
      <c r="B25" s="31" t="s">
        <v>194</v>
      </c>
      <c r="C25" s="30">
        <v>1025276.81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1025276.81</v>
      </c>
      <c r="M25" s="30">
        <v>0</v>
      </c>
      <c r="N25" s="30">
        <f>L25-M25</f>
        <v>1025276.81</v>
      </c>
      <c r="O25" s="29">
        <f>M25/$M$26</f>
        <v>0</v>
      </c>
    </row>
    <row r="26" spans="1:15" ht="18" customHeight="1" thickBot="1" x14ac:dyDescent="0.3">
      <c r="A26" s="34"/>
      <c r="B26" s="35" t="s">
        <v>34</v>
      </c>
      <c r="C26" s="36">
        <f>SUM(C9:C25)</f>
        <v>6416776.6100000013</v>
      </c>
      <c r="D26" s="36">
        <f t="shared" ref="D26:N26" si="2">SUM(D9:D25)</f>
        <v>0</v>
      </c>
      <c r="E26" s="36">
        <f t="shared" si="2"/>
        <v>0</v>
      </c>
      <c r="F26" s="36">
        <f t="shared" si="2"/>
        <v>0</v>
      </c>
      <c r="G26" s="36">
        <f t="shared" si="2"/>
        <v>0</v>
      </c>
      <c r="H26" s="36">
        <f t="shared" si="2"/>
        <v>0</v>
      </c>
      <c r="I26" s="36">
        <f t="shared" si="2"/>
        <v>0</v>
      </c>
      <c r="J26" s="36">
        <f t="shared" si="2"/>
        <v>0</v>
      </c>
      <c r="K26" s="36">
        <f t="shared" si="2"/>
        <v>0</v>
      </c>
      <c r="L26" s="36">
        <f t="shared" si="2"/>
        <v>6416776.6100000013</v>
      </c>
      <c r="M26" s="36">
        <f t="shared" si="2"/>
        <v>370341.77</v>
      </c>
      <c r="N26" s="36">
        <f t="shared" si="2"/>
        <v>6046434.8399999999</v>
      </c>
      <c r="O26" s="29"/>
    </row>
    <row r="27" spans="1:15" ht="15.95" customHeight="1" x14ac:dyDescent="0.2">
      <c r="A27" s="37"/>
      <c r="B27" s="37"/>
      <c r="C27" s="38">
        <f>6416776.61-C26</f>
        <v>0</v>
      </c>
      <c r="D27" s="38"/>
      <c r="E27" s="38"/>
      <c r="F27" s="38"/>
      <c r="G27" s="38"/>
      <c r="H27" s="38"/>
      <c r="I27" s="38"/>
      <c r="J27" s="69"/>
      <c r="K27" s="69"/>
      <c r="L27" s="38"/>
      <c r="M27" s="38"/>
      <c r="N27" s="38"/>
      <c r="O27" s="39"/>
    </row>
    <row r="28" spans="1:15" ht="15.95" customHeight="1" x14ac:dyDescent="0.25">
      <c r="A28" s="27" t="s">
        <v>35</v>
      </c>
      <c r="B28" s="27" t="s">
        <v>36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37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38</v>
      </c>
      <c r="B31" s="31" t="s">
        <v>159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v>63528.1</v>
      </c>
      <c r="N31" s="30">
        <f t="shared" ref="N31:N91" si="3">L31-M31</f>
        <v>721043.94000000006</v>
      </c>
      <c r="O31" s="40">
        <f t="shared" ref="O31:O40" si="4">M31/$M$132</f>
        <v>0.49584761061506211</v>
      </c>
    </row>
    <row r="32" spans="1:15" ht="15.95" customHeight="1" x14ac:dyDescent="0.2">
      <c r="A32" s="43" t="s">
        <v>39</v>
      </c>
      <c r="B32" s="31" t="s">
        <v>160</v>
      </c>
      <c r="C32" s="30">
        <v>4500</v>
      </c>
      <c r="D32" s="30"/>
      <c r="E32" s="30"/>
      <c r="F32" s="46"/>
      <c r="G32" s="46"/>
      <c r="H32" s="30"/>
      <c r="I32" s="30"/>
      <c r="J32" s="46"/>
      <c r="K32" s="46"/>
      <c r="L32" s="30">
        <f t="shared" ref="L32:L40" si="5">C32+D32-E32+F32-G32+H32-I32+J32-K32</f>
        <v>4500</v>
      </c>
      <c r="M32" s="30">
        <v>375</v>
      </c>
      <c r="N32" s="30">
        <f t="shared" si="3"/>
        <v>4125</v>
      </c>
      <c r="O32" s="40">
        <f t="shared" si="4"/>
        <v>2.92693869296655E-3</v>
      </c>
    </row>
    <row r="33" spans="1:15" ht="15.95" customHeight="1" x14ac:dyDescent="0.2">
      <c r="A33" s="43" t="s">
        <v>40</v>
      </c>
      <c r="B33" s="31" t="s">
        <v>161</v>
      </c>
      <c r="C33" s="30">
        <v>281100</v>
      </c>
      <c r="D33" s="30"/>
      <c r="E33" s="30"/>
      <c r="F33" s="46"/>
      <c r="G33" s="46"/>
      <c r="H33" s="30"/>
      <c r="I33" s="30"/>
      <c r="J33" s="46"/>
      <c r="K33" s="46"/>
      <c r="L33" s="30">
        <f t="shared" si="5"/>
        <v>281100</v>
      </c>
      <c r="M33" s="30">
        <v>22050</v>
      </c>
      <c r="N33" s="30">
        <f t="shared" si="3"/>
        <v>259050</v>
      </c>
      <c r="O33" s="40">
        <f t="shared" si="4"/>
        <v>0.17210399514643315</v>
      </c>
    </row>
    <row r="34" spans="1:15" ht="15.95" customHeight="1" x14ac:dyDescent="0.2">
      <c r="A34" s="43" t="s">
        <v>41</v>
      </c>
      <c r="B34" s="31" t="s">
        <v>42</v>
      </c>
      <c r="C34" s="30">
        <v>17500</v>
      </c>
      <c r="D34" s="30"/>
      <c r="E34" s="30"/>
      <c r="F34" s="46"/>
      <c r="G34" s="46"/>
      <c r="H34" s="30"/>
      <c r="I34" s="30"/>
      <c r="J34" s="46"/>
      <c r="K34" s="46"/>
      <c r="L34" s="30">
        <f t="shared" si="5"/>
        <v>17500</v>
      </c>
      <c r="M34" s="30">
        <v>0</v>
      </c>
      <c r="N34" s="30">
        <f t="shared" si="3"/>
        <v>17500</v>
      </c>
      <c r="O34" s="40">
        <f t="shared" si="4"/>
        <v>0</v>
      </c>
    </row>
    <row r="35" spans="1:15" ht="15.95" customHeight="1" x14ac:dyDescent="0.2">
      <c r="A35" s="43" t="s">
        <v>43</v>
      </c>
      <c r="B35" s="31" t="s">
        <v>162</v>
      </c>
      <c r="C35" s="30">
        <v>34510.800000000003</v>
      </c>
      <c r="D35" s="30"/>
      <c r="E35" s="30"/>
      <c r="F35" s="46"/>
      <c r="G35" s="46"/>
      <c r="H35" s="30"/>
      <c r="I35" s="30"/>
      <c r="J35" s="46"/>
      <c r="K35" s="46"/>
      <c r="L35" s="30">
        <f t="shared" si="5"/>
        <v>34510.800000000003</v>
      </c>
      <c r="M35" s="30">
        <v>1834.72</v>
      </c>
      <c r="N35" s="30">
        <f t="shared" si="3"/>
        <v>32676.080000000002</v>
      </c>
      <c r="O35" s="40">
        <f t="shared" si="4"/>
        <v>1.4320301223358905E-2</v>
      </c>
    </row>
    <row r="36" spans="1:15" ht="15.95" customHeight="1" x14ac:dyDescent="0.2">
      <c r="A36" s="43" t="s">
        <v>44</v>
      </c>
      <c r="B36" s="31" t="s">
        <v>163</v>
      </c>
      <c r="C36" s="30">
        <v>87401.15</v>
      </c>
      <c r="D36" s="30"/>
      <c r="E36" s="30"/>
      <c r="F36" s="46"/>
      <c r="G36" s="46"/>
      <c r="H36" s="30"/>
      <c r="I36" s="30"/>
      <c r="J36" s="46"/>
      <c r="K36" s="46"/>
      <c r="L36" s="30">
        <f t="shared" si="5"/>
        <v>87401.15</v>
      </c>
      <c r="M36" s="30">
        <v>6974.21</v>
      </c>
      <c r="N36" s="30">
        <f t="shared" si="3"/>
        <v>80426.939999999988</v>
      </c>
      <c r="O36" s="40">
        <f t="shared" si="4"/>
        <v>5.4434893604997987E-2</v>
      </c>
    </row>
    <row r="37" spans="1:15" ht="15.95" customHeight="1" x14ac:dyDescent="0.2">
      <c r="A37" s="43" t="s">
        <v>45</v>
      </c>
      <c r="B37" s="31" t="s">
        <v>164</v>
      </c>
      <c r="C37" s="30">
        <v>8190.84</v>
      </c>
      <c r="D37" s="30"/>
      <c r="E37" s="30"/>
      <c r="F37" s="46"/>
      <c r="G37" s="46"/>
      <c r="H37" s="30"/>
      <c r="I37" s="30"/>
      <c r="J37" s="46"/>
      <c r="K37" s="46"/>
      <c r="L37" s="30">
        <f t="shared" si="5"/>
        <v>8190.84</v>
      </c>
      <c r="M37" s="30">
        <v>653.63</v>
      </c>
      <c r="N37" s="30">
        <f t="shared" si="3"/>
        <v>7537.21</v>
      </c>
      <c r="O37" s="40">
        <f t="shared" si="4"/>
        <v>5.1016931676899366E-3</v>
      </c>
    </row>
    <row r="38" spans="1:15" ht="15.95" customHeight="1" x14ac:dyDescent="0.2">
      <c r="A38" s="43" t="s">
        <v>46</v>
      </c>
      <c r="B38" s="31" t="s">
        <v>47</v>
      </c>
      <c r="C38" s="30">
        <v>67581.009999999995</v>
      </c>
      <c r="D38" s="30"/>
      <c r="E38" s="30"/>
      <c r="F38" s="46"/>
      <c r="G38" s="46"/>
      <c r="H38" s="30"/>
      <c r="I38" s="30"/>
      <c r="J38" s="46"/>
      <c r="K38" s="46"/>
      <c r="L38" s="30">
        <f t="shared" si="5"/>
        <v>67581.009999999995</v>
      </c>
      <c r="M38" s="30">
        <v>0</v>
      </c>
      <c r="N38" s="30">
        <f t="shared" si="3"/>
        <v>67581.009999999995</v>
      </c>
      <c r="O38" s="40">
        <f t="shared" si="4"/>
        <v>0</v>
      </c>
    </row>
    <row r="39" spans="1:15" ht="15.95" customHeight="1" x14ac:dyDescent="0.2">
      <c r="A39" s="43" t="s">
        <v>48</v>
      </c>
      <c r="B39" s="31" t="s">
        <v>165</v>
      </c>
      <c r="C39" s="30">
        <v>67581.009999999995</v>
      </c>
      <c r="D39" s="30"/>
      <c r="E39" s="30"/>
      <c r="F39" s="46"/>
      <c r="G39" s="46"/>
      <c r="H39" s="30"/>
      <c r="I39" s="30"/>
      <c r="J39" s="46"/>
      <c r="K39" s="46"/>
      <c r="L39" s="30">
        <f t="shared" si="5"/>
        <v>67581.009999999995</v>
      </c>
      <c r="M39" s="30">
        <v>0</v>
      </c>
      <c r="N39" s="30">
        <f t="shared" si="3"/>
        <v>67581.009999999995</v>
      </c>
      <c r="O39" s="40">
        <f t="shared" si="4"/>
        <v>0</v>
      </c>
    </row>
    <row r="40" spans="1:15" ht="15.95" customHeight="1" x14ac:dyDescent="0.2">
      <c r="A40" s="43" t="s">
        <v>49</v>
      </c>
      <c r="B40" s="31" t="s">
        <v>50</v>
      </c>
      <c r="C40" s="30">
        <v>4400</v>
      </c>
      <c r="D40" s="30"/>
      <c r="E40" s="30"/>
      <c r="F40" s="46"/>
      <c r="G40" s="46"/>
      <c r="H40" s="30"/>
      <c r="I40" s="30"/>
      <c r="J40" s="46"/>
      <c r="K40" s="46"/>
      <c r="L40" s="30">
        <f t="shared" si="5"/>
        <v>4400</v>
      </c>
      <c r="M40" s="30">
        <v>0</v>
      </c>
      <c r="N40" s="30">
        <f t="shared" si="3"/>
        <v>4400</v>
      </c>
      <c r="O40" s="40">
        <f t="shared" si="4"/>
        <v>0</v>
      </c>
    </row>
    <row r="41" spans="1:15" ht="15.95" customHeight="1" x14ac:dyDescent="0.2">
      <c r="A41" s="43"/>
      <c r="B41" s="31"/>
      <c r="C41" s="30"/>
      <c r="D41" s="30"/>
      <c r="E41" s="30"/>
      <c r="F41" s="46"/>
      <c r="G41" s="46"/>
      <c r="H41" s="30"/>
      <c r="I41" s="30"/>
      <c r="J41" s="46"/>
      <c r="K41" s="46"/>
      <c r="L41" s="30"/>
      <c r="M41" s="30"/>
      <c r="N41" s="30"/>
      <c r="O41" s="40"/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5">
      <c r="A43" s="41">
        <v>1</v>
      </c>
      <c r="B43" s="42" t="s">
        <v>51</v>
      </c>
      <c r="C43" s="28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">
      <c r="A44" s="43" t="s">
        <v>96</v>
      </c>
      <c r="B44" s="31" t="s">
        <v>52</v>
      </c>
      <c r="C44" s="30">
        <v>13750</v>
      </c>
      <c r="D44" s="30"/>
      <c r="E44" s="30"/>
      <c r="F44" s="46"/>
      <c r="G44" s="46"/>
      <c r="H44" s="30"/>
      <c r="I44" s="30"/>
      <c r="J44" s="46"/>
      <c r="K44" s="46"/>
      <c r="L44" s="30">
        <f t="shared" ref="L44:L74" si="6">C44+D44-E44+F44-G44+H44-I44+J44-K44</f>
        <v>13750</v>
      </c>
      <c r="M44" s="30">
        <v>388.31</v>
      </c>
      <c r="N44" s="30">
        <f t="shared" si="3"/>
        <v>13361.69</v>
      </c>
      <c r="O44" s="40">
        <f t="shared" ref="O44:O74" si="7">M44/$M$132</f>
        <v>3.0308255036422429E-3</v>
      </c>
    </row>
    <row r="45" spans="1:15" ht="15.95" customHeight="1" x14ac:dyDescent="0.2">
      <c r="A45" s="43" t="s">
        <v>97</v>
      </c>
      <c r="B45" s="31" t="s">
        <v>53</v>
      </c>
      <c r="C45" s="30">
        <v>26100</v>
      </c>
      <c r="D45" s="30"/>
      <c r="E45" s="30"/>
      <c r="F45" s="46"/>
      <c r="G45" s="46"/>
      <c r="H45" s="30"/>
      <c r="I45" s="30"/>
      <c r="J45" s="46"/>
      <c r="K45" s="46"/>
      <c r="L45" s="30">
        <f t="shared" si="6"/>
        <v>26100</v>
      </c>
      <c r="M45" s="30">
        <v>3080.3900000000003</v>
      </c>
      <c r="N45" s="30">
        <f t="shared" si="3"/>
        <v>23019.61</v>
      </c>
      <c r="O45" s="40">
        <f t="shared" si="7"/>
        <v>2.4042967147805953E-2</v>
      </c>
    </row>
    <row r="46" spans="1:15" ht="15.95" customHeight="1" x14ac:dyDescent="0.2">
      <c r="A46" s="43" t="s">
        <v>98</v>
      </c>
      <c r="B46" s="31" t="s">
        <v>54</v>
      </c>
      <c r="C46" s="30">
        <v>2000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2000</v>
      </c>
      <c r="M46" s="30">
        <v>135</v>
      </c>
      <c r="N46" s="30">
        <f t="shared" si="3"/>
        <v>1865</v>
      </c>
      <c r="O46" s="40">
        <f t="shared" si="7"/>
        <v>1.053697929467958E-3</v>
      </c>
    </row>
    <row r="47" spans="1:15" ht="15.95" customHeight="1" x14ac:dyDescent="0.2">
      <c r="A47" s="43" t="s">
        <v>99</v>
      </c>
      <c r="B47" s="31" t="s">
        <v>166</v>
      </c>
      <c r="C47" s="30">
        <v>8000</v>
      </c>
      <c r="D47" s="30"/>
      <c r="E47" s="30"/>
      <c r="F47" s="46"/>
      <c r="G47" s="46"/>
      <c r="H47" s="30"/>
      <c r="I47" s="30"/>
      <c r="J47" s="46"/>
      <c r="K47" s="46"/>
      <c r="L47" s="30">
        <f t="shared" si="6"/>
        <v>8000</v>
      </c>
      <c r="M47" s="30">
        <v>2040</v>
      </c>
      <c r="N47" s="30">
        <f t="shared" si="3"/>
        <v>5960</v>
      </c>
      <c r="O47" s="40">
        <f t="shared" si="7"/>
        <v>1.5922546489738034E-2</v>
      </c>
    </row>
    <row r="48" spans="1:15" ht="15.95" customHeight="1" x14ac:dyDescent="0.2">
      <c r="A48" s="43" t="s">
        <v>100</v>
      </c>
      <c r="B48" s="31" t="s">
        <v>167</v>
      </c>
      <c r="C48" s="30">
        <v>14250</v>
      </c>
      <c r="D48" s="30"/>
      <c r="E48" s="30"/>
      <c r="F48" s="46"/>
      <c r="G48" s="46"/>
      <c r="H48" s="30"/>
      <c r="I48" s="30"/>
      <c r="J48" s="46"/>
      <c r="K48" s="46"/>
      <c r="L48" s="30">
        <f t="shared" si="6"/>
        <v>14250</v>
      </c>
      <c r="M48" s="30">
        <v>36</v>
      </c>
      <c r="N48" s="30">
        <f t="shared" si="3"/>
        <v>14214</v>
      </c>
      <c r="O48" s="40">
        <f t="shared" si="7"/>
        <v>2.8098611452478885E-4</v>
      </c>
    </row>
    <row r="49" spans="1:15" ht="15.95" customHeight="1" x14ac:dyDescent="0.2">
      <c r="A49" s="43" t="s">
        <v>101</v>
      </c>
      <c r="B49" s="31" t="s">
        <v>168</v>
      </c>
      <c r="C49" s="30">
        <v>1176868.53</v>
      </c>
      <c r="D49" s="30"/>
      <c r="E49" s="30"/>
      <c r="F49" s="46"/>
      <c r="G49" s="46"/>
      <c r="H49" s="30"/>
      <c r="I49" s="30"/>
      <c r="J49" s="46"/>
      <c r="K49" s="46"/>
      <c r="L49" s="30">
        <f t="shared" si="6"/>
        <v>1176868.53</v>
      </c>
      <c r="M49" s="30">
        <v>0</v>
      </c>
      <c r="N49" s="30">
        <f t="shared" si="3"/>
        <v>1176868.53</v>
      </c>
      <c r="O49" s="40">
        <f t="shared" si="7"/>
        <v>0</v>
      </c>
    </row>
    <row r="50" spans="1:15" ht="15.95" customHeight="1" x14ac:dyDescent="0.2">
      <c r="A50" s="43" t="s">
        <v>102</v>
      </c>
      <c r="B50" s="31" t="s">
        <v>55</v>
      </c>
      <c r="C50" s="30">
        <v>619609.80000000005</v>
      </c>
      <c r="D50" s="30"/>
      <c r="E50" s="30"/>
      <c r="F50" s="46"/>
      <c r="G50" s="46"/>
      <c r="H50" s="30"/>
      <c r="I50" s="30"/>
      <c r="J50" s="46"/>
      <c r="K50" s="46"/>
      <c r="L50" s="30">
        <f t="shared" si="6"/>
        <v>619609.80000000005</v>
      </c>
      <c r="M50" s="30">
        <v>0</v>
      </c>
      <c r="N50" s="30">
        <f t="shared" si="3"/>
        <v>619609.80000000005</v>
      </c>
      <c r="O50" s="40">
        <f t="shared" si="7"/>
        <v>0</v>
      </c>
    </row>
    <row r="51" spans="1:15" ht="15.95" customHeight="1" x14ac:dyDescent="0.2">
      <c r="A51" s="43" t="s">
        <v>103</v>
      </c>
      <c r="B51" s="31" t="s">
        <v>169</v>
      </c>
      <c r="C51" s="30">
        <v>504047.6</v>
      </c>
      <c r="D51" s="30"/>
      <c r="E51" s="30"/>
      <c r="F51" s="46"/>
      <c r="G51" s="46"/>
      <c r="H51" s="30"/>
      <c r="I51" s="30"/>
      <c r="J51" s="46"/>
      <c r="K51" s="46"/>
      <c r="L51" s="30">
        <f t="shared" si="6"/>
        <v>504047.6</v>
      </c>
      <c r="M51" s="30">
        <v>4033.21</v>
      </c>
      <c r="N51" s="30">
        <f t="shared" si="3"/>
        <v>500014.38999999996</v>
      </c>
      <c r="O51" s="40">
        <f t="shared" si="7"/>
        <v>3.1479889082292323E-2</v>
      </c>
    </row>
    <row r="52" spans="1:15" ht="15.95" customHeight="1" x14ac:dyDescent="0.2">
      <c r="A52" s="43" t="s">
        <v>104</v>
      </c>
      <c r="B52" s="31" t="s">
        <v>56</v>
      </c>
      <c r="C52" s="30">
        <v>20750</v>
      </c>
      <c r="D52" s="30"/>
      <c r="E52" s="30"/>
      <c r="F52" s="46"/>
      <c r="G52" s="46"/>
      <c r="H52" s="30"/>
      <c r="I52" s="30"/>
      <c r="J52" s="46"/>
      <c r="K52" s="46"/>
      <c r="L52" s="30">
        <f t="shared" si="6"/>
        <v>20750</v>
      </c>
      <c r="M52" s="30">
        <v>0</v>
      </c>
      <c r="N52" s="30">
        <f t="shared" si="3"/>
        <v>20750</v>
      </c>
      <c r="O52" s="40">
        <f t="shared" si="7"/>
        <v>0</v>
      </c>
    </row>
    <row r="53" spans="1:15" ht="15.95" customHeight="1" x14ac:dyDescent="0.2">
      <c r="A53" s="43" t="s">
        <v>105</v>
      </c>
      <c r="B53" s="31" t="s">
        <v>57</v>
      </c>
      <c r="C53" s="30">
        <v>42500</v>
      </c>
      <c r="D53" s="30"/>
      <c r="E53" s="30"/>
      <c r="F53" s="46"/>
      <c r="G53" s="46"/>
      <c r="H53" s="30"/>
      <c r="I53" s="30"/>
      <c r="J53" s="46"/>
      <c r="K53" s="46"/>
      <c r="L53" s="30">
        <f t="shared" si="6"/>
        <v>42500</v>
      </c>
      <c r="M53" s="30">
        <v>0</v>
      </c>
      <c r="N53" s="30">
        <f t="shared" si="3"/>
        <v>42500</v>
      </c>
      <c r="O53" s="40">
        <f t="shared" si="7"/>
        <v>0</v>
      </c>
    </row>
    <row r="54" spans="1:15" ht="15.95" customHeight="1" x14ac:dyDescent="0.2">
      <c r="A54" s="43" t="s">
        <v>106</v>
      </c>
      <c r="B54" s="31" t="s">
        <v>58</v>
      </c>
      <c r="C54" s="30">
        <v>4400</v>
      </c>
      <c r="D54" s="30"/>
      <c r="E54" s="30"/>
      <c r="F54" s="46"/>
      <c r="G54" s="46"/>
      <c r="H54" s="30"/>
      <c r="I54" s="30"/>
      <c r="J54" s="46"/>
      <c r="K54" s="46"/>
      <c r="L54" s="30">
        <f t="shared" si="6"/>
        <v>4400</v>
      </c>
      <c r="M54" s="30">
        <v>0</v>
      </c>
      <c r="N54" s="30">
        <f t="shared" si="3"/>
        <v>4400</v>
      </c>
      <c r="O54" s="40">
        <f t="shared" si="7"/>
        <v>0</v>
      </c>
    </row>
    <row r="55" spans="1:15" ht="15.95" customHeight="1" x14ac:dyDescent="0.2">
      <c r="A55" s="43" t="s">
        <v>107</v>
      </c>
      <c r="B55" s="31" t="s">
        <v>170</v>
      </c>
      <c r="C55" s="30">
        <v>3004.32</v>
      </c>
      <c r="D55" s="30"/>
      <c r="E55" s="30"/>
      <c r="F55" s="46"/>
      <c r="G55" s="46"/>
      <c r="H55" s="30"/>
      <c r="I55" s="30"/>
      <c r="J55" s="46"/>
      <c r="K55" s="46"/>
      <c r="L55" s="30">
        <f t="shared" si="6"/>
        <v>3004.32</v>
      </c>
      <c r="M55" s="30">
        <v>0</v>
      </c>
      <c r="N55" s="30">
        <f t="shared" si="3"/>
        <v>3004.32</v>
      </c>
      <c r="O55" s="40">
        <f t="shared" si="7"/>
        <v>0</v>
      </c>
    </row>
    <row r="56" spans="1:15" ht="15.95" customHeight="1" x14ac:dyDescent="0.2">
      <c r="A56" s="43" t="s">
        <v>108</v>
      </c>
      <c r="B56" s="31" t="s">
        <v>171</v>
      </c>
      <c r="C56" s="30">
        <v>7750</v>
      </c>
      <c r="D56" s="30"/>
      <c r="E56" s="30"/>
      <c r="F56" s="46"/>
      <c r="G56" s="46"/>
      <c r="H56" s="30"/>
      <c r="I56" s="30"/>
      <c r="J56" s="46"/>
      <c r="K56" s="46"/>
      <c r="L56" s="30">
        <f t="shared" si="6"/>
        <v>7750</v>
      </c>
      <c r="M56" s="30">
        <v>0</v>
      </c>
      <c r="N56" s="30">
        <f t="shared" si="3"/>
        <v>7750</v>
      </c>
      <c r="O56" s="40">
        <f t="shared" si="7"/>
        <v>0</v>
      </c>
    </row>
    <row r="57" spans="1:15" ht="15.95" customHeight="1" x14ac:dyDescent="0.2">
      <c r="A57" s="43" t="s">
        <v>109</v>
      </c>
      <c r="B57" s="31" t="s">
        <v>172</v>
      </c>
      <c r="C57" s="30">
        <v>7000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7000</v>
      </c>
      <c r="M57" s="30">
        <v>0</v>
      </c>
      <c r="N57" s="30">
        <f t="shared" si="3"/>
        <v>7000</v>
      </c>
      <c r="O57" s="40">
        <f t="shared" si="7"/>
        <v>0</v>
      </c>
    </row>
    <row r="58" spans="1:15" ht="15.95" customHeight="1" x14ac:dyDescent="0.2">
      <c r="A58" s="43" t="s">
        <v>110</v>
      </c>
      <c r="B58" s="31" t="s">
        <v>173</v>
      </c>
      <c r="C58" s="30">
        <v>4000</v>
      </c>
      <c r="D58" s="30"/>
      <c r="E58" s="30"/>
      <c r="F58" s="46"/>
      <c r="G58" s="46"/>
      <c r="H58" s="30"/>
      <c r="I58" s="30"/>
      <c r="J58" s="46"/>
      <c r="K58" s="46"/>
      <c r="L58" s="30">
        <f t="shared" si="6"/>
        <v>4000</v>
      </c>
      <c r="M58" s="30">
        <v>0</v>
      </c>
      <c r="N58" s="30">
        <f t="shared" si="3"/>
        <v>4000</v>
      </c>
      <c r="O58" s="40">
        <f t="shared" si="7"/>
        <v>0</v>
      </c>
    </row>
    <row r="59" spans="1:15" ht="15.95" hidden="1" customHeight="1" x14ac:dyDescent="0.2">
      <c r="A59" s="43" t="s">
        <v>111</v>
      </c>
      <c r="B59" s="31" t="s">
        <v>174</v>
      </c>
      <c r="C59" s="30"/>
      <c r="D59" s="30"/>
      <c r="E59" s="30"/>
      <c r="F59" s="46"/>
      <c r="G59" s="46"/>
      <c r="H59" s="30"/>
      <c r="I59" s="30"/>
      <c r="J59" s="46"/>
      <c r="K59" s="46"/>
      <c r="L59" s="30">
        <f t="shared" si="6"/>
        <v>0</v>
      </c>
      <c r="M59" s="30">
        <v>0</v>
      </c>
      <c r="N59" s="30">
        <f t="shared" si="3"/>
        <v>0</v>
      </c>
      <c r="O59" s="40">
        <f t="shared" si="7"/>
        <v>0</v>
      </c>
    </row>
    <row r="60" spans="1:15" ht="15.95" customHeight="1" x14ac:dyDescent="0.2">
      <c r="A60" s="43" t="s">
        <v>112</v>
      </c>
      <c r="B60" s="31" t="s">
        <v>175</v>
      </c>
      <c r="C60" s="30">
        <v>9750</v>
      </c>
      <c r="D60" s="30"/>
      <c r="E60" s="30"/>
      <c r="F60" s="46"/>
      <c r="G60" s="46"/>
      <c r="H60" s="30"/>
      <c r="I60" s="30"/>
      <c r="J60" s="46"/>
      <c r="K60" s="46"/>
      <c r="L60" s="30">
        <f t="shared" si="6"/>
        <v>9750</v>
      </c>
      <c r="M60" s="30">
        <v>0</v>
      </c>
      <c r="N60" s="30">
        <f t="shared" si="3"/>
        <v>9750</v>
      </c>
      <c r="O60" s="40">
        <f t="shared" si="7"/>
        <v>0</v>
      </c>
    </row>
    <row r="61" spans="1:15" ht="15.95" customHeight="1" x14ac:dyDescent="0.2">
      <c r="A61" s="43" t="s">
        <v>113</v>
      </c>
      <c r="B61" s="31" t="s">
        <v>176</v>
      </c>
      <c r="C61" s="30">
        <v>260706.83</v>
      </c>
      <c r="D61" s="30"/>
      <c r="E61" s="30"/>
      <c r="F61" s="46"/>
      <c r="G61" s="46"/>
      <c r="H61" s="30"/>
      <c r="I61" s="30"/>
      <c r="J61" s="46"/>
      <c r="K61" s="46"/>
      <c r="L61" s="30">
        <f t="shared" si="6"/>
        <v>260706.83</v>
      </c>
      <c r="M61" s="30">
        <v>0</v>
      </c>
      <c r="N61" s="30">
        <f t="shared" si="3"/>
        <v>260706.83</v>
      </c>
      <c r="O61" s="40">
        <f t="shared" si="7"/>
        <v>0</v>
      </c>
    </row>
    <row r="62" spans="1:15" ht="15.95" customHeight="1" x14ac:dyDescent="0.2">
      <c r="A62" s="43" t="s">
        <v>114</v>
      </c>
      <c r="B62" s="31" t="s">
        <v>177</v>
      </c>
      <c r="C62" s="30">
        <v>15000</v>
      </c>
      <c r="D62" s="30"/>
      <c r="E62" s="30"/>
      <c r="F62" s="46"/>
      <c r="G62" s="46"/>
      <c r="H62" s="30"/>
      <c r="I62" s="30"/>
      <c r="J62" s="46"/>
      <c r="K62" s="46"/>
      <c r="L62" s="30">
        <f t="shared" si="6"/>
        <v>15000</v>
      </c>
      <c r="M62" s="30">
        <v>4200</v>
      </c>
      <c r="N62" s="30">
        <f t="shared" si="3"/>
        <v>10800</v>
      </c>
      <c r="O62" s="40">
        <f t="shared" si="7"/>
        <v>3.2781713361225359E-2</v>
      </c>
    </row>
    <row r="63" spans="1:15" ht="15.95" customHeight="1" x14ac:dyDescent="0.2">
      <c r="A63" s="43" t="s">
        <v>115</v>
      </c>
      <c r="B63" s="31" t="s">
        <v>178</v>
      </c>
      <c r="C63" s="30">
        <v>54000</v>
      </c>
      <c r="D63" s="30"/>
      <c r="E63" s="30"/>
      <c r="F63" s="46"/>
      <c r="G63" s="46"/>
      <c r="H63" s="30"/>
      <c r="I63" s="30"/>
      <c r="J63" s="46"/>
      <c r="K63" s="46"/>
      <c r="L63" s="30">
        <f t="shared" si="6"/>
        <v>54000</v>
      </c>
      <c r="M63" s="30">
        <v>0</v>
      </c>
      <c r="N63" s="30">
        <f t="shared" si="3"/>
        <v>54000</v>
      </c>
      <c r="O63" s="40">
        <f t="shared" si="7"/>
        <v>0</v>
      </c>
    </row>
    <row r="64" spans="1:15" ht="15.95" customHeight="1" x14ac:dyDescent="0.2">
      <c r="A64" s="43" t="s">
        <v>116</v>
      </c>
      <c r="B64" s="31" t="s">
        <v>59</v>
      </c>
      <c r="C64" s="30">
        <v>7500</v>
      </c>
      <c r="D64" s="30"/>
      <c r="E64" s="30"/>
      <c r="F64" s="46"/>
      <c r="G64" s="46"/>
      <c r="H64" s="30"/>
      <c r="I64" s="30"/>
      <c r="J64" s="46"/>
      <c r="K64" s="46"/>
      <c r="L64" s="30">
        <f t="shared" si="6"/>
        <v>7500</v>
      </c>
      <c r="M64" s="30">
        <v>0</v>
      </c>
      <c r="N64" s="30">
        <f t="shared" si="3"/>
        <v>7500</v>
      </c>
      <c r="O64" s="40">
        <f t="shared" si="7"/>
        <v>0</v>
      </c>
    </row>
    <row r="65" spans="1:15" ht="15.95" customHeight="1" x14ac:dyDescent="0.2">
      <c r="A65" s="43" t="s">
        <v>117</v>
      </c>
      <c r="B65" s="31" t="s">
        <v>179</v>
      </c>
      <c r="C65" s="30">
        <v>24540</v>
      </c>
      <c r="D65" s="30"/>
      <c r="E65" s="30"/>
      <c r="F65" s="46"/>
      <c r="G65" s="46"/>
      <c r="H65" s="30"/>
      <c r="I65" s="30"/>
      <c r="J65" s="46"/>
      <c r="K65" s="46"/>
      <c r="L65" s="30">
        <f t="shared" si="6"/>
        <v>24540</v>
      </c>
      <c r="M65" s="30">
        <v>0</v>
      </c>
      <c r="N65" s="30">
        <f t="shared" si="3"/>
        <v>24540</v>
      </c>
      <c r="O65" s="40">
        <f t="shared" si="7"/>
        <v>0</v>
      </c>
    </row>
    <row r="66" spans="1:15" ht="15.95" customHeight="1" x14ac:dyDescent="0.2">
      <c r="A66" s="43" t="s">
        <v>118</v>
      </c>
      <c r="B66" s="31" t="s">
        <v>180</v>
      </c>
      <c r="C66" s="30">
        <v>8000</v>
      </c>
      <c r="D66" s="30"/>
      <c r="E66" s="30"/>
      <c r="F66" s="46"/>
      <c r="G66" s="46"/>
      <c r="H66" s="30"/>
      <c r="I66" s="30"/>
      <c r="J66" s="46"/>
      <c r="K66" s="46"/>
      <c r="L66" s="30">
        <f t="shared" si="6"/>
        <v>8000</v>
      </c>
      <c r="M66" s="30">
        <v>800</v>
      </c>
      <c r="N66" s="30">
        <f t="shared" si="3"/>
        <v>7200</v>
      </c>
      <c r="O66" s="40">
        <f t="shared" si="7"/>
        <v>6.2441358783286403E-3</v>
      </c>
    </row>
    <row r="67" spans="1:15" ht="15.95" customHeight="1" x14ac:dyDescent="0.2">
      <c r="A67" s="43" t="s">
        <v>119</v>
      </c>
      <c r="B67" s="31" t="s">
        <v>181</v>
      </c>
      <c r="C67" s="30">
        <v>8000</v>
      </c>
      <c r="D67" s="30"/>
      <c r="E67" s="30"/>
      <c r="F67" s="46"/>
      <c r="G67" s="46"/>
      <c r="H67" s="30"/>
      <c r="I67" s="30"/>
      <c r="J67" s="46"/>
      <c r="K67" s="46"/>
      <c r="L67" s="30">
        <f t="shared" si="6"/>
        <v>8000</v>
      </c>
      <c r="M67" s="30">
        <v>0</v>
      </c>
      <c r="N67" s="30">
        <f t="shared" si="3"/>
        <v>8000</v>
      </c>
      <c r="O67" s="40">
        <f t="shared" si="7"/>
        <v>0</v>
      </c>
    </row>
    <row r="68" spans="1:15" ht="15.95" customHeight="1" x14ac:dyDescent="0.2">
      <c r="A68" s="43" t="s">
        <v>120</v>
      </c>
      <c r="B68" s="31" t="s">
        <v>60</v>
      </c>
      <c r="C68" s="30">
        <v>225800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225800</v>
      </c>
      <c r="M68" s="30">
        <v>0</v>
      </c>
      <c r="N68" s="30">
        <f t="shared" si="3"/>
        <v>225800</v>
      </c>
      <c r="O68" s="40">
        <f t="shared" si="7"/>
        <v>0</v>
      </c>
    </row>
    <row r="69" spans="1:15" ht="15.95" customHeight="1" x14ac:dyDescent="0.2">
      <c r="A69" s="43" t="s">
        <v>121</v>
      </c>
      <c r="B69" s="31" t="s">
        <v>182</v>
      </c>
      <c r="C69" s="30">
        <v>8250</v>
      </c>
      <c r="D69" s="30"/>
      <c r="E69" s="30"/>
      <c r="F69" s="46"/>
      <c r="G69" s="46"/>
      <c r="H69" s="30"/>
      <c r="I69" s="30"/>
      <c r="J69" s="46"/>
      <c r="K69" s="46"/>
      <c r="L69" s="30">
        <f t="shared" si="6"/>
        <v>8250</v>
      </c>
      <c r="M69" s="30">
        <v>0</v>
      </c>
      <c r="N69" s="30">
        <f t="shared" si="3"/>
        <v>8250</v>
      </c>
      <c r="O69" s="40">
        <f t="shared" si="7"/>
        <v>0</v>
      </c>
    </row>
    <row r="70" spans="1:15" ht="15.95" customHeight="1" x14ac:dyDescent="0.2">
      <c r="A70" s="43" t="s">
        <v>122</v>
      </c>
      <c r="B70" s="31" t="s">
        <v>183</v>
      </c>
      <c r="C70" s="30">
        <v>2500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2500</v>
      </c>
      <c r="M70" s="30">
        <v>152.13999999999999</v>
      </c>
      <c r="N70" s="30">
        <f t="shared" si="3"/>
        <v>2347.86</v>
      </c>
      <c r="O70" s="40">
        <f t="shared" si="7"/>
        <v>1.1874785406611492E-3</v>
      </c>
    </row>
    <row r="71" spans="1:15" ht="15.95" customHeight="1" x14ac:dyDescent="0.2">
      <c r="A71" s="43" t="s">
        <v>123</v>
      </c>
      <c r="B71" s="31" t="s">
        <v>61</v>
      </c>
      <c r="C71" s="30">
        <v>7000</v>
      </c>
      <c r="D71" s="30"/>
      <c r="E71" s="30"/>
      <c r="F71" s="46"/>
      <c r="G71" s="46"/>
      <c r="H71" s="30"/>
      <c r="I71" s="30"/>
      <c r="J71" s="46"/>
      <c r="K71" s="46"/>
      <c r="L71" s="30">
        <f t="shared" si="6"/>
        <v>7000</v>
      </c>
      <c r="M71" s="30">
        <v>10.199999999999999</v>
      </c>
      <c r="N71" s="30">
        <f t="shared" si="3"/>
        <v>6989.8</v>
      </c>
      <c r="O71" s="40">
        <f t="shared" si="7"/>
        <v>7.9612732448690156E-5</v>
      </c>
    </row>
    <row r="72" spans="1:15" ht="15.95" customHeight="1" x14ac:dyDescent="0.2">
      <c r="A72" s="43" t="s">
        <v>124</v>
      </c>
      <c r="B72" s="31" t="s">
        <v>184</v>
      </c>
      <c r="C72" s="30">
        <v>2000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2000</v>
      </c>
      <c r="M72" s="30">
        <v>0</v>
      </c>
      <c r="N72" s="30">
        <f t="shared" si="3"/>
        <v>2000</v>
      </c>
      <c r="O72" s="40">
        <f t="shared" si="7"/>
        <v>0</v>
      </c>
    </row>
    <row r="73" spans="1:15" ht="15.95" customHeight="1" x14ac:dyDescent="0.2">
      <c r="A73" s="43" t="s">
        <v>185</v>
      </c>
      <c r="B73" s="31" t="s">
        <v>157</v>
      </c>
      <c r="C73" s="30">
        <v>89500</v>
      </c>
      <c r="D73" s="30"/>
      <c r="E73" s="30"/>
      <c r="F73" s="46"/>
      <c r="G73" s="46"/>
      <c r="H73" s="30"/>
      <c r="I73" s="30"/>
      <c r="J73" s="46"/>
      <c r="K73" s="46"/>
      <c r="L73" s="30">
        <f t="shared" si="6"/>
        <v>89500</v>
      </c>
      <c r="M73" s="30">
        <v>0</v>
      </c>
      <c r="N73" s="30">
        <f t="shared" si="3"/>
        <v>89500</v>
      </c>
      <c r="O73" s="40">
        <f t="shared" si="7"/>
        <v>0</v>
      </c>
    </row>
    <row r="74" spans="1:15" ht="15.95" customHeight="1" x14ac:dyDescent="0.2">
      <c r="A74" s="43" t="s">
        <v>125</v>
      </c>
      <c r="B74" s="31" t="s">
        <v>186</v>
      </c>
      <c r="C74" s="30">
        <v>21000</v>
      </c>
      <c r="D74" s="30"/>
      <c r="E74" s="30"/>
      <c r="F74" s="46"/>
      <c r="G74" s="46"/>
      <c r="H74" s="30"/>
      <c r="I74" s="30"/>
      <c r="J74" s="46"/>
      <c r="K74" s="46"/>
      <c r="L74" s="30">
        <f t="shared" si="6"/>
        <v>21000</v>
      </c>
      <c r="M74" s="30">
        <v>6112</v>
      </c>
      <c r="N74" s="30">
        <f t="shared" si="3"/>
        <v>14888</v>
      </c>
      <c r="O74" s="40">
        <f t="shared" si="7"/>
        <v>4.7705198110430815E-2</v>
      </c>
    </row>
    <row r="75" spans="1:15" ht="15.95" customHeight="1" x14ac:dyDescent="0.2">
      <c r="A75" s="43"/>
      <c r="B75" s="31"/>
      <c r="C75" s="30"/>
      <c r="D75" s="30"/>
      <c r="E75" s="30"/>
      <c r="F75" s="46"/>
      <c r="G75" s="46"/>
      <c r="H75" s="30"/>
      <c r="I75" s="30"/>
      <c r="J75" s="46"/>
      <c r="K75" s="46"/>
      <c r="L75" s="30"/>
      <c r="M75" s="30"/>
      <c r="N75" s="30"/>
      <c r="O75" s="40"/>
    </row>
    <row r="76" spans="1:15" ht="15.95" customHeight="1" x14ac:dyDescent="0.2">
      <c r="A76" s="43"/>
      <c r="B76" s="31"/>
      <c r="C76" s="30"/>
      <c r="D76" s="30"/>
      <c r="E76" s="30"/>
      <c r="F76" s="46"/>
      <c r="G76" s="46"/>
      <c r="H76" s="30"/>
      <c r="I76" s="30"/>
      <c r="J76" s="46"/>
      <c r="K76" s="46"/>
      <c r="L76" s="30"/>
      <c r="M76" s="30"/>
      <c r="N76" s="30"/>
      <c r="O76" s="40"/>
    </row>
    <row r="77" spans="1:15" ht="15.95" customHeight="1" x14ac:dyDescent="0.25">
      <c r="A77" s="41">
        <v>2</v>
      </c>
      <c r="B77" s="42" t="s">
        <v>62</v>
      </c>
      <c r="C77" s="28"/>
      <c r="D77" s="30"/>
      <c r="E77" s="30"/>
      <c r="F77" s="46"/>
      <c r="G77" s="46"/>
      <c r="H77" s="30"/>
      <c r="I77" s="30"/>
      <c r="J77" s="46"/>
      <c r="K77" s="46"/>
      <c r="L77" s="30"/>
      <c r="M77" s="30"/>
      <c r="N77" s="30"/>
      <c r="O77" s="40"/>
    </row>
    <row r="78" spans="1:15" ht="15.95" customHeight="1" x14ac:dyDescent="0.2">
      <c r="A78" s="43" t="s">
        <v>126</v>
      </c>
      <c r="B78" s="31" t="s">
        <v>63</v>
      </c>
      <c r="C78" s="30">
        <v>114414.1</v>
      </c>
      <c r="D78" s="30"/>
      <c r="E78" s="30"/>
      <c r="F78" s="46"/>
      <c r="G78" s="46"/>
      <c r="H78" s="30"/>
      <c r="I78" s="30"/>
      <c r="J78" s="46"/>
      <c r="K78" s="46"/>
      <c r="L78" s="30">
        <f t="shared" ref="L78:L114" si="8">C78+D78-E78+F78-G78+H78-I78+J78-K78</f>
        <v>114414.1</v>
      </c>
      <c r="M78" s="30">
        <v>5279.0499999999993</v>
      </c>
      <c r="N78" s="30">
        <f t="shared" si="3"/>
        <v>109135.05</v>
      </c>
      <c r="O78" s="40">
        <f t="shared" ref="O78:O114" si="9">M78/$M$132</f>
        <v>4.1203881885613504E-2</v>
      </c>
    </row>
    <row r="79" spans="1:15" ht="15.95" hidden="1" customHeight="1" x14ac:dyDescent="0.2">
      <c r="A79" s="43">
        <v>214</v>
      </c>
      <c r="B79" s="31" t="s">
        <v>198</v>
      </c>
      <c r="C79" s="30"/>
      <c r="D79" s="30"/>
      <c r="E79" s="30"/>
      <c r="F79" s="46"/>
      <c r="G79" s="46"/>
      <c r="H79" s="30"/>
      <c r="I79" s="30"/>
      <c r="J79" s="46"/>
      <c r="K79" s="46"/>
      <c r="L79" s="30">
        <f t="shared" si="8"/>
        <v>0</v>
      </c>
      <c r="M79" s="30">
        <v>0</v>
      </c>
      <c r="N79" s="30">
        <f t="shared" si="3"/>
        <v>0</v>
      </c>
      <c r="O79" s="40">
        <f t="shared" si="9"/>
        <v>0</v>
      </c>
    </row>
    <row r="80" spans="1:15" ht="15.95" hidden="1" customHeight="1" x14ac:dyDescent="0.2">
      <c r="A80" s="43">
        <v>223</v>
      </c>
      <c r="B80" s="31" t="s">
        <v>199</v>
      </c>
      <c r="C80" s="30"/>
      <c r="D80" s="30"/>
      <c r="E80" s="30"/>
      <c r="F80" s="46"/>
      <c r="G80" s="46"/>
      <c r="H80" s="30"/>
      <c r="I80" s="30"/>
      <c r="J80" s="46"/>
      <c r="K80" s="46"/>
      <c r="L80" s="30">
        <f t="shared" si="8"/>
        <v>0</v>
      </c>
      <c r="M80" s="30">
        <v>0</v>
      </c>
      <c r="N80" s="30">
        <f t="shared" si="3"/>
        <v>0</v>
      </c>
      <c r="O80" s="40">
        <f t="shared" si="9"/>
        <v>0</v>
      </c>
    </row>
    <row r="81" spans="1:15" ht="15.95" hidden="1" customHeight="1" x14ac:dyDescent="0.2">
      <c r="A81" s="43">
        <v>229</v>
      </c>
      <c r="B81" s="31" t="s">
        <v>200</v>
      </c>
      <c r="C81" s="30"/>
      <c r="D81" s="30"/>
      <c r="E81" s="30"/>
      <c r="F81" s="46"/>
      <c r="G81" s="46"/>
      <c r="H81" s="30"/>
      <c r="I81" s="30"/>
      <c r="J81" s="46"/>
      <c r="K81" s="46"/>
      <c r="L81" s="30">
        <f t="shared" si="8"/>
        <v>0</v>
      </c>
      <c r="M81" s="30">
        <v>0</v>
      </c>
      <c r="N81" s="30">
        <f t="shared" si="3"/>
        <v>0</v>
      </c>
      <c r="O81" s="40">
        <f t="shared" si="9"/>
        <v>0</v>
      </c>
    </row>
    <row r="82" spans="1:15" ht="15.95" customHeight="1" x14ac:dyDescent="0.2">
      <c r="A82" s="43" t="s">
        <v>127</v>
      </c>
      <c r="B82" s="31" t="s">
        <v>64</v>
      </c>
      <c r="C82" s="30">
        <v>2750</v>
      </c>
      <c r="D82" s="30"/>
      <c r="E82" s="30"/>
      <c r="F82" s="46"/>
      <c r="G82" s="46"/>
      <c r="H82" s="30"/>
      <c r="I82" s="30"/>
      <c r="J82" s="46"/>
      <c r="K82" s="46"/>
      <c r="L82" s="30">
        <f t="shared" si="8"/>
        <v>2750</v>
      </c>
      <c r="M82" s="30">
        <v>0</v>
      </c>
      <c r="N82" s="30">
        <f t="shared" si="3"/>
        <v>2750</v>
      </c>
      <c r="O82" s="40">
        <f t="shared" si="9"/>
        <v>0</v>
      </c>
    </row>
    <row r="83" spans="1:15" ht="15.95" customHeight="1" x14ac:dyDescent="0.2">
      <c r="A83" s="43" t="s">
        <v>128</v>
      </c>
      <c r="B83" s="31" t="s">
        <v>65</v>
      </c>
      <c r="C83" s="30">
        <v>16800</v>
      </c>
      <c r="D83" s="30"/>
      <c r="E83" s="30"/>
      <c r="F83" s="46"/>
      <c r="G83" s="46"/>
      <c r="H83" s="30"/>
      <c r="I83" s="30"/>
      <c r="J83" s="46"/>
      <c r="K83" s="46"/>
      <c r="L83" s="30">
        <f t="shared" si="8"/>
        <v>16800</v>
      </c>
      <c r="M83" s="30">
        <v>0</v>
      </c>
      <c r="N83" s="30">
        <f t="shared" si="3"/>
        <v>16800</v>
      </c>
      <c r="O83" s="40">
        <f t="shared" si="9"/>
        <v>0</v>
      </c>
    </row>
    <row r="84" spans="1:15" ht="15.95" customHeight="1" x14ac:dyDescent="0.2">
      <c r="A84" s="43" t="s">
        <v>129</v>
      </c>
      <c r="B84" s="31" t="s">
        <v>66</v>
      </c>
      <c r="C84" s="30">
        <v>5250</v>
      </c>
      <c r="D84" s="30"/>
      <c r="E84" s="30"/>
      <c r="F84" s="46"/>
      <c r="G84" s="46"/>
      <c r="H84" s="30"/>
      <c r="I84" s="30"/>
      <c r="J84" s="46"/>
      <c r="K84" s="46"/>
      <c r="L84" s="30">
        <f t="shared" si="8"/>
        <v>5250</v>
      </c>
      <c r="M84" s="30">
        <v>335</v>
      </c>
      <c r="N84" s="30">
        <f t="shared" si="3"/>
        <v>4915</v>
      </c>
      <c r="O84" s="40">
        <f t="shared" si="9"/>
        <v>2.6147318990501181E-3</v>
      </c>
    </row>
    <row r="85" spans="1:15" ht="15.95" customHeight="1" x14ac:dyDescent="0.2">
      <c r="A85" s="43" t="s">
        <v>130</v>
      </c>
      <c r="B85" s="31" t="s">
        <v>67</v>
      </c>
      <c r="C85" s="30">
        <v>1500</v>
      </c>
      <c r="D85" s="30"/>
      <c r="E85" s="30"/>
      <c r="F85" s="46"/>
      <c r="G85" s="46"/>
      <c r="H85" s="30"/>
      <c r="I85" s="30"/>
      <c r="J85" s="46"/>
      <c r="K85" s="46"/>
      <c r="L85" s="30">
        <f t="shared" si="8"/>
        <v>1500</v>
      </c>
      <c r="M85" s="30">
        <v>18.7</v>
      </c>
      <c r="N85" s="30">
        <f t="shared" si="3"/>
        <v>1481.3</v>
      </c>
      <c r="O85" s="40">
        <f t="shared" si="9"/>
        <v>1.4595667615593195E-4</v>
      </c>
    </row>
    <row r="86" spans="1:15" ht="15.95" customHeight="1" x14ac:dyDescent="0.2">
      <c r="A86" s="43" t="s">
        <v>131</v>
      </c>
      <c r="B86" s="31" t="s">
        <v>201</v>
      </c>
      <c r="C86" s="30">
        <v>3050</v>
      </c>
      <c r="D86" s="30"/>
      <c r="E86" s="30"/>
      <c r="F86" s="46"/>
      <c r="G86" s="46"/>
      <c r="H86" s="30"/>
      <c r="I86" s="30"/>
      <c r="J86" s="46"/>
      <c r="K86" s="46"/>
      <c r="L86" s="30">
        <f t="shared" si="8"/>
        <v>3050</v>
      </c>
      <c r="M86" s="30">
        <v>112.5</v>
      </c>
      <c r="N86" s="30">
        <f t="shared" si="3"/>
        <v>2937.5</v>
      </c>
      <c r="O86" s="40">
        <f t="shared" si="9"/>
        <v>8.780816078899651E-4</v>
      </c>
    </row>
    <row r="87" spans="1:15" ht="15.95" customHeight="1" x14ac:dyDescent="0.2">
      <c r="A87" s="43" t="s">
        <v>132</v>
      </c>
      <c r="B87" s="31" t="s">
        <v>68</v>
      </c>
      <c r="C87" s="30">
        <v>875</v>
      </c>
      <c r="D87" s="30"/>
      <c r="E87" s="30"/>
      <c r="F87" s="46"/>
      <c r="G87" s="46"/>
      <c r="H87" s="30"/>
      <c r="I87" s="30"/>
      <c r="J87" s="46"/>
      <c r="K87" s="46"/>
      <c r="L87" s="30">
        <f t="shared" si="8"/>
        <v>875</v>
      </c>
      <c r="M87" s="30">
        <v>5</v>
      </c>
      <c r="N87" s="30">
        <f t="shared" si="3"/>
        <v>870</v>
      </c>
      <c r="O87" s="40">
        <f t="shared" si="9"/>
        <v>3.9025849239554005E-5</v>
      </c>
    </row>
    <row r="88" spans="1:15" ht="15.95" customHeight="1" x14ac:dyDescent="0.2">
      <c r="A88" s="43" t="s">
        <v>133</v>
      </c>
      <c r="B88" s="31" t="s">
        <v>202</v>
      </c>
      <c r="C88" s="30">
        <v>5500</v>
      </c>
      <c r="D88" s="30"/>
      <c r="E88" s="30"/>
      <c r="F88" s="46"/>
      <c r="G88" s="46"/>
      <c r="H88" s="30"/>
      <c r="I88" s="30"/>
      <c r="J88" s="46"/>
      <c r="K88" s="46"/>
      <c r="L88" s="30">
        <f t="shared" si="8"/>
        <v>5500</v>
      </c>
      <c r="M88" s="30">
        <v>0</v>
      </c>
      <c r="N88" s="30">
        <f t="shared" si="3"/>
        <v>5500</v>
      </c>
      <c r="O88" s="40">
        <f t="shared" si="9"/>
        <v>0</v>
      </c>
    </row>
    <row r="89" spans="1:15" ht="15.95" customHeight="1" x14ac:dyDescent="0.2">
      <c r="A89" s="43" t="s">
        <v>134</v>
      </c>
      <c r="B89" s="31" t="s">
        <v>69</v>
      </c>
      <c r="C89" s="30">
        <v>2700</v>
      </c>
      <c r="D89" s="30"/>
      <c r="E89" s="30"/>
      <c r="F89" s="46"/>
      <c r="G89" s="46"/>
      <c r="H89" s="30"/>
      <c r="I89" s="30"/>
      <c r="J89" s="46"/>
      <c r="K89" s="46"/>
      <c r="L89" s="30">
        <f t="shared" si="8"/>
        <v>2700</v>
      </c>
      <c r="M89" s="30">
        <v>0</v>
      </c>
      <c r="N89" s="30">
        <f t="shared" si="3"/>
        <v>2700</v>
      </c>
      <c r="O89" s="40">
        <f t="shared" si="9"/>
        <v>0</v>
      </c>
    </row>
    <row r="90" spans="1:15" ht="15.95" customHeight="1" x14ac:dyDescent="0.2">
      <c r="A90" s="43" t="s">
        <v>203</v>
      </c>
      <c r="B90" s="31" t="s">
        <v>204</v>
      </c>
      <c r="C90" s="30">
        <v>2800</v>
      </c>
      <c r="D90" s="30"/>
      <c r="E90" s="30"/>
      <c r="F90" s="46"/>
      <c r="G90" s="46"/>
      <c r="H90" s="30"/>
      <c r="I90" s="30"/>
      <c r="J90" s="46"/>
      <c r="K90" s="46"/>
      <c r="L90" s="30">
        <f t="shared" si="8"/>
        <v>2800</v>
      </c>
      <c r="M90" s="30">
        <v>138</v>
      </c>
      <c r="N90" s="30">
        <f t="shared" si="3"/>
        <v>2662</v>
      </c>
      <c r="O90" s="40">
        <f t="shared" si="9"/>
        <v>1.0771134390116905E-3</v>
      </c>
    </row>
    <row r="91" spans="1:15" ht="15.95" customHeight="1" x14ac:dyDescent="0.2">
      <c r="A91" s="43" t="s">
        <v>135</v>
      </c>
      <c r="B91" s="31" t="s">
        <v>70</v>
      </c>
      <c r="C91" s="30">
        <v>8500</v>
      </c>
      <c r="D91" s="30"/>
      <c r="E91" s="30"/>
      <c r="F91" s="46"/>
      <c r="G91" s="46"/>
      <c r="H91" s="30"/>
      <c r="I91" s="30"/>
      <c r="J91" s="46"/>
      <c r="K91" s="46"/>
      <c r="L91" s="30">
        <f t="shared" si="8"/>
        <v>8500</v>
      </c>
      <c r="M91" s="30">
        <v>689</v>
      </c>
      <c r="N91" s="30">
        <f t="shared" si="3"/>
        <v>7811</v>
      </c>
      <c r="O91" s="40">
        <f t="shared" si="9"/>
        <v>5.3777620252105415E-3</v>
      </c>
    </row>
    <row r="92" spans="1:15" ht="15.95" customHeight="1" x14ac:dyDescent="0.2">
      <c r="A92" s="43" t="s">
        <v>136</v>
      </c>
      <c r="B92" s="31" t="s">
        <v>205</v>
      </c>
      <c r="C92" s="30">
        <v>2000</v>
      </c>
      <c r="D92" s="30"/>
      <c r="E92" s="30"/>
      <c r="F92" s="46"/>
      <c r="G92" s="46"/>
      <c r="H92" s="30"/>
      <c r="I92" s="30"/>
      <c r="J92" s="46"/>
      <c r="K92" s="46"/>
      <c r="L92" s="30">
        <f t="shared" si="8"/>
        <v>2000</v>
      </c>
      <c r="M92" s="30">
        <v>29.5</v>
      </c>
      <c r="N92" s="30">
        <f t="shared" ref="N92:N131" si="10">L92-M92</f>
        <v>1970.5</v>
      </c>
      <c r="O92" s="40">
        <f t="shared" si="9"/>
        <v>2.3025251051336863E-4</v>
      </c>
    </row>
    <row r="93" spans="1:15" ht="15.95" customHeight="1" x14ac:dyDescent="0.2">
      <c r="A93" s="43" t="s">
        <v>137</v>
      </c>
      <c r="B93" s="31" t="s">
        <v>71</v>
      </c>
      <c r="C93" s="30">
        <v>17500</v>
      </c>
      <c r="D93" s="30"/>
      <c r="E93" s="30"/>
      <c r="F93" s="46"/>
      <c r="G93" s="46"/>
      <c r="H93" s="30"/>
      <c r="I93" s="30"/>
      <c r="J93" s="46"/>
      <c r="K93" s="46"/>
      <c r="L93" s="30">
        <f t="shared" si="8"/>
        <v>17500</v>
      </c>
      <c r="M93" s="30">
        <v>1357.5</v>
      </c>
      <c r="N93" s="30">
        <f t="shared" si="10"/>
        <v>16142.5</v>
      </c>
      <c r="O93" s="40">
        <f t="shared" si="9"/>
        <v>1.0595518068538912E-2</v>
      </c>
    </row>
    <row r="94" spans="1:15" ht="15.95" customHeight="1" x14ac:dyDescent="0.2">
      <c r="A94" s="43" t="s">
        <v>138</v>
      </c>
      <c r="B94" s="31" t="s">
        <v>206</v>
      </c>
      <c r="C94" s="30">
        <v>3000</v>
      </c>
      <c r="D94" s="30"/>
      <c r="E94" s="30"/>
      <c r="F94" s="46"/>
      <c r="G94" s="46"/>
      <c r="H94" s="30"/>
      <c r="I94" s="30"/>
      <c r="J94" s="46"/>
      <c r="K94" s="46"/>
      <c r="L94" s="30">
        <f t="shared" si="8"/>
        <v>3000</v>
      </c>
      <c r="M94" s="30">
        <v>51.6</v>
      </c>
      <c r="N94" s="30">
        <f t="shared" si="10"/>
        <v>2948.4</v>
      </c>
      <c r="O94" s="40">
        <f t="shared" si="9"/>
        <v>4.027467641521973E-4</v>
      </c>
    </row>
    <row r="95" spans="1:15" ht="15.95" customHeight="1" x14ac:dyDescent="0.2">
      <c r="A95" s="43" t="s">
        <v>139</v>
      </c>
      <c r="B95" s="31" t="s">
        <v>207</v>
      </c>
      <c r="C95" s="30">
        <v>1500</v>
      </c>
      <c r="D95" s="30"/>
      <c r="E95" s="30"/>
      <c r="F95" s="46"/>
      <c r="G95" s="46"/>
      <c r="H95" s="30"/>
      <c r="I95" s="30"/>
      <c r="J95" s="46"/>
      <c r="K95" s="46"/>
      <c r="L95" s="30">
        <f t="shared" si="8"/>
        <v>1500</v>
      </c>
      <c r="M95" s="30">
        <v>0</v>
      </c>
      <c r="N95" s="30">
        <f t="shared" si="10"/>
        <v>1500</v>
      </c>
      <c r="O95" s="40">
        <f t="shared" si="9"/>
        <v>0</v>
      </c>
    </row>
    <row r="96" spans="1:15" ht="15.95" customHeight="1" x14ac:dyDescent="0.2">
      <c r="A96" s="43" t="s">
        <v>140</v>
      </c>
      <c r="B96" s="31" t="s">
        <v>72</v>
      </c>
      <c r="C96" s="30">
        <v>210345</v>
      </c>
      <c r="D96" s="30"/>
      <c r="E96" s="30"/>
      <c r="F96" s="46"/>
      <c r="G96" s="46"/>
      <c r="H96" s="30"/>
      <c r="I96" s="30"/>
      <c r="J96" s="46"/>
      <c r="K96" s="46"/>
      <c r="L96" s="30">
        <f t="shared" si="8"/>
        <v>210345</v>
      </c>
      <c r="M96" s="30">
        <v>0</v>
      </c>
      <c r="N96" s="30">
        <f t="shared" si="10"/>
        <v>210345</v>
      </c>
      <c r="O96" s="40">
        <f t="shared" si="9"/>
        <v>0</v>
      </c>
    </row>
    <row r="97" spans="1:15" ht="15.95" hidden="1" customHeight="1" x14ac:dyDescent="0.2">
      <c r="A97" s="43">
        <v>272</v>
      </c>
      <c r="B97" s="31" t="s">
        <v>208</v>
      </c>
      <c r="C97" s="30"/>
      <c r="D97" s="30"/>
      <c r="E97" s="30"/>
      <c r="F97" s="46"/>
      <c r="G97" s="46"/>
      <c r="H97" s="30"/>
      <c r="I97" s="30"/>
      <c r="J97" s="46"/>
      <c r="K97" s="46"/>
      <c r="L97" s="30">
        <f t="shared" si="8"/>
        <v>0</v>
      </c>
      <c r="M97" s="30">
        <v>0</v>
      </c>
      <c r="N97" s="30">
        <f t="shared" si="10"/>
        <v>0</v>
      </c>
      <c r="O97" s="40">
        <f t="shared" si="9"/>
        <v>0</v>
      </c>
    </row>
    <row r="98" spans="1:15" ht="15.95" hidden="1" customHeight="1" x14ac:dyDescent="0.2">
      <c r="A98" s="43" t="s">
        <v>141</v>
      </c>
      <c r="B98" s="31" t="s">
        <v>209</v>
      </c>
      <c r="C98" s="30"/>
      <c r="D98" s="30"/>
      <c r="E98" s="30"/>
      <c r="F98" s="46"/>
      <c r="G98" s="46"/>
      <c r="H98" s="30"/>
      <c r="I98" s="30"/>
      <c r="J98" s="46"/>
      <c r="K98" s="46"/>
      <c r="L98" s="30">
        <f t="shared" si="8"/>
        <v>0</v>
      </c>
      <c r="M98" s="30">
        <v>0</v>
      </c>
      <c r="N98" s="30">
        <f t="shared" si="10"/>
        <v>0</v>
      </c>
      <c r="O98" s="40">
        <f t="shared" si="9"/>
        <v>0</v>
      </c>
    </row>
    <row r="99" spans="1:15" ht="15.95" customHeight="1" x14ac:dyDescent="0.2">
      <c r="A99" s="43">
        <v>274</v>
      </c>
      <c r="B99" s="31" t="s">
        <v>73</v>
      </c>
      <c r="C99" s="30">
        <v>1500</v>
      </c>
      <c r="D99" s="30"/>
      <c r="E99" s="30"/>
      <c r="F99" s="46"/>
      <c r="G99" s="46"/>
      <c r="H99" s="30"/>
      <c r="I99" s="30"/>
      <c r="J99" s="46"/>
      <c r="K99" s="46"/>
      <c r="L99" s="30">
        <f t="shared" si="8"/>
        <v>1500</v>
      </c>
      <c r="M99" s="30">
        <v>0</v>
      </c>
      <c r="N99" s="30">
        <f t="shared" si="10"/>
        <v>1500</v>
      </c>
      <c r="O99" s="40">
        <f t="shared" si="9"/>
        <v>0</v>
      </c>
    </row>
    <row r="100" spans="1:15" ht="15.95" hidden="1" customHeight="1" x14ac:dyDescent="0.2">
      <c r="A100" s="43">
        <v>275</v>
      </c>
      <c r="B100" s="31" t="s">
        <v>210</v>
      </c>
      <c r="C100" s="30"/>
      <c r="D100" s="30"/>
      <c r="E100" s="30"/>
      <c r="F100" s="46"/>
      <c r="G100" s="46"/>
      <c r="H100" s="30"/>
      <c r="I100" s="30"/>
      <c r="J100" s="46"/>
      <c r="K100" s="46"/>
      <c r="L100" s="30">
        <f t="shared" si="8"/>
        <v>0</v>
      </c>
      <c r="M100" s="30">
        <v>0</v>
      </c>
      <c r="N100" s="30">
        <f t="shared" si="10"/>
        <v>0</v>
      </c>
      <c r="O100" s="40">
        <f t="shared" si="9"/>
        <v>0</v>
      </c>
    </row>
    <row r="101" spans="1:15" ht="15.95" customHeight="1" x14ac:dyDescent="0.2">
      <c r="A101" s="43">
        <v>279</v>
      </c>
      <c r="B101" s="31" t="s">
        <v>211</v>
      </c>
      <c r="C101" s="30">
        <v>750</v>
      </c>
      <c r="D101" s="30"/>
      <c r="E101" s="30"/>
      <c r="F101" s="46"/>
      <c r="G101" s="46"/>
      <c r="H101" s="30"/>
      <c r="I101" s="30"/>
      <c r="J101" s="46"/>
      <c r="K101" s="46"/>
      <c r="L101" s="30">
        <f t="shared" si="8"/>
        <v>750</v>
      </c>
      <c r="M101" s="30">
        <v>0</v>
      </c>
      <c r="N101" s="30">
        <f t="shared" si="10"/>
        <v>750</v>
      </c>
      <c r="O101" s="40">
        <f t="shared" si="9"/>
        <v>0</v>
      </c>
    </row>
    <row r="102" spans="1:15" ht="15.95" hidden="1" customHeight="1" x14ac:dyDescent="0.2">
      <c r="A102" s="43">
        <v>281</v>
      </c>
      <c r="B102" s="31" t="s">
        <v>212</v>
      </c>
      <c r="C102" s="30"/>
      <c r="D102" s="30"/>
      <c r="E102" s="30"/>
      <c r="F102" s="46"/>
      <c r="G102" s="46"/>
      <c r="H102" s="30"/>
      <c r="I102" s="30"/>
      <c r="J102" s="46"/>
      <c r="K102" s="46"/>
      <c r="L102" s="30">
        <f t="shared" si="8"/>
        <v>0</v>
      </c>
      <c r="M102" s="30">
        <v>0</v>
      </c>
      <c r="N102" s="30">
        <f t="shared" si="10"/>
        <v>0</v>
      </c>
      <c r="O102" s="40">
        <f t="shared" si="9"/>
        <v>0</v>
      </c>
    </row>
    <row r="103" spans="1:15" ht="15.95" customHeight="1" x14ac:dyDescent="0.2">
      <c r="A103" s="43" t="s">
        <v>142</v>
      </c>
      <c r="B103" s="31" t="s">
        <v>213</v>
      </c>
      <c r="C103" s="30">
        <v>1800</v>
      </c>
      <c r="D103" s="30"/>
      <c r="E103" s="30"/>
      <c r="F103" s="46"/>
      <c r="G103" s="46"/>
      <c r="H103" s="30"/>
      <c r="I103" s="30"/>
      <c r="J103" s="46"/>
      <c r="K103" s="46"/>
      <c r="L103" s="30">
        <f t="shared" si="8"/>
        <v>1800</v>
      </c>
      <c r="M103" s="30">
        <v>145.4</v>
      </c>
      <c r="N103" s="30">
        <f t="shared" si="10"/>
        <v>1654.6</v>
      </c>
      <c r="O103" s="40">
        <f t="shared" si="9"/>
        <v>1.1348716958862306E-3</v>
      </c>
    </row>
    <row r="104" spans="1:15" ht="15.95" customHeight="1" x14ac:dyDescent="0.2">
      <c r="A104" s="43" t="s">
        <v>143</v>
      </c>
      <c r="B104" s="31" t="s">
        <v>74</v>
      </c>
      <c r="C104" s="30">
        <v>8800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8"/>
        <v>8800</v>
      </c>
      <c r="M104" s="30">
        <v>0</v>
      </c>
      <c r="N104" s="30">
        <f t="shared" si="10"/>
        <v>8800</v>
      </c>
      <c r="O104" s="40">
        <f t="shared" si="9"/>
        <v>0</v>
      </c>
    </row>
    <row r="105" spans="1:15" ht="15.95" customHeight="1" x14ac:dyDescent="0.2">
      <c r="A105" s="43" t="s">
        <v>144</v>
      </c>
      <c r="B105" s="31" t="s">
        <v>75</v>
      </c>
      <c r="C105" s="30">
        <v>800821.67999999993</v>
      </c>
      <c r="D105" s="30"/>
      <c r="E105" s="30"/>
      <c r="F105" s="46"/>
      <c r="G105" s="46"/>
      <c r="H105" s="30"/>
      <c r="I105" s="30"/>
      <c r="J105" s="46"/>
      <c r="K105" s="46"/>
      <c r="L105" s="30">
        <f t="shared" si="8"/>
        <v>800821.67999999993</v>
      </c>
      <c r="M105" s="30">
        <v>0</v>
      </c>
      <c r="N105" s="30">
        <f t="shared" si="10"/>
        <v>800821.67999999993</v>
      </c>
      <c r="O105" s="40">
        <f t="shared" si="9"/>
        <v>0</v>
      </c>
    </row>
    <row r="106" spans="1:15" ht="15.95" customHeight="1" x14ac:dyDescent="0.2">
      <c r="A106" s="43">
        <v>286</v>
      </c>
      <c r="B106" s="31" t="s">
        <v>214</v>
      </c>
      <c r="C106" s="30">
        <v>1500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8"/>
        <v>1500</v>
      </c>
      <c r="M106" s="30">
        <v>0</v>
      </c>
      <c r="N106" s="30">
        <f t="shared" si="10"/>
        <v>1500</v>
      </c>
      <c r="O106" s="40">
        <f t="shared" si="9"/>
        <v>0</v>
      </c>
    </row>
    <row r="107" spans="1:15" ht="15.95" hidden="1" customHeight="1" x14ac:dyDescent="0.2">
      <c r="A107" s="43">
        <v>289</v>
      </c>
      <c r="B107" s="31" t="s">
        <v>215</v>
      </c>
      <c r="C107" s="30"/>
      <c r="D107" s="30"/>
      <c r="E107" s="30"/>
      <c r="F107" s="46"/>
      <c r="G107" s="46"/>
      <c r="H107" s="30"/>
      <c r="I107" s="30"/>
      <c r="J107" s="46"/>
      <c r="K107" s="46"/>
      <c r="L107" s="30">
        <f t="shared" si="8"/>
        <v>0</v>
      </c>
      <c r="M107" s="30">
        <v>0</v>
      </c>
      <c r="N107" s="30">
        <f t="shared" si="10"/>
        <v>0</v>
      </c>
      <c r="O107" s="40">
        <f t="shared" si="9"/>
        <v>0</v>
      </c>
    </row>
    <row r="108" spans="1:15" ht="15.95" customHeight="1" x14ac:dyDescent="0.2">
      <c r="A108" s="43" t="s">
        <v>145</v>
      </c>
      <c r="B108" s="31" t="s">
        <v>76</v>
      </c>
      <c r="C108" s="30">
        <v>6600</v>
      </c>
      <c r="D108" s="30"/>
      <c r="E108" s="30"/>
      <c r="F108" s="46"/>
      <c r="G108" s="46"/>
      <c r="H108" s="30"/>
      <c r="I108" s="30"/>
      <c r="J108" s="46"/>
      <c r="K108" s="46"/>
      <c r="L108" s="30">
        <f t="shared" si="8"/>
        <v>6600</v>
      </c>
      <c r="M108" s="30">
        <v>492.8</v>
      </c>
      <c r="N108" s="30">
        <f t="shared" si="10"/>
        <v>6107.2</v>
      </c>
      <c r="O108" s="40">
        <f t="shared" si="9"/>
        <v>3.8463877010504427E-3</v>
      </c>
    </row>
    <row r="109" spans="1:15" ht="15.95" customHeight="1" x14ac:dyDescent="0.2">
      <c r="A109" s="43" t="s">
        <v>146</v>
      </c>
      <c r="B109" s="31" t="s">
        <v>216</v>
      </c>
      <c r="C109" s="30">
        <v>2000</v>
      </c>
      <c r="D109" s="30"/>
      <c r="E109" s="30"/>
      <c r="F109" s="46"/>
      <c r="G109" s="46"/>
      <c r="H109" s="30"/>
      <c r="I109" s="30"/>
      <c r="J109" s="46"/>
      <c r="K109" s="46"/>
      <c r="L109" s="30">
        <f t="shared" si="8"/>
        <v>2000</v>
      </c>
      <c r="M109" s="30">
        <v>44.9</v>
      </c>
      <c r="N109" s="30">
        <f t="shared" si="10"/>
        <v>1955.1</v>
      </c>
      <c r="O109" s="40">
        <f t="shared" si="9"/>
        <v>3.5045212617119492E-4</v>
      </c>
    </row>
    <row r="110" spans="1:15" ht="15.95" customHeight="1" x14ac:dyDescent="0.2">
      <c r="A110" s="43" t="s">
        <v>147</v>
      </c>
      <c r="B110" s="31" t="s">
        <v>77</v>
      </c>
      <c r="C110" s="30">
        <v>115251.9</v>
      </c>
      <c r="D110" s="30"/>
      <c r="E110" s="30"/>
      <c r="F110" s="46"/>
      <c r="G110" s="46"/>
      <c r="H110" s="30"/>
      <c r="I110" s="30"/>
      <c r="J110" s="46"/>
      <c r="K110" s="46"/>
      <c r="L110" s="30">
        <f t="shared" si="8"/>
        <v>115251.9</v>
      </c>
      <c r="M110" s="30">
        <v>0</v>
      </c>
      <c r="N110" s="30">
        <f t="shared" si="10"/>
        <v>115251.9</v>
      </c>
      <c r="O110" s="40">
        <f t="shared" si="9"/>
        <v>0</v>
      </c>
    </row>
    <row r="111" spans="1:15" ht="15.95" customHeight="1" x14ac:dyDescent="0.2">
      <c r="A111" s="43" t="s">
        <v>148</v>
      </c>
      <c r="B111" s="31" t="s">
        <v>78</v>
      </c>
      <c r="C111" s="30">
        <v>2000</v>
      </c>
      <c r="D111" s="30"/>
      <c r="E111" s="30"/>
      <c r="F111" s="46"/>
      <c r="G111" s="46"/>
      <c r="H111" s="30"/>
      <c r="I111" s="30"/>
      <c r="J111" s="46"/>
      <c r="K111" s="46"/>
      <c r="L111" s="30">
        <f t="shared" si="8"/>
        <v>2000</v>
      </c>
      <c r="M111" s="30">
        <v>0</v>
      </c>
      <c r="N111" s="30">
        <f t="shared" si="10"/>
        <v>2000</v>
      </c>
      <c r="O111" s="40">
        <f t="shared" si="9"/>
        <v>0</v>
      </c>
    </row>
    <row r="112" spans="1:15" ht="15.95" customHeight="1" x14ac:dyDescent="0.2">
      <c r="A112" s="43" t="s">
        <v>149</v>
      </c>
      <c r="B112" s="31" t="s">
        <v>217</v>
      </c>
      <c r="C112" s="30">
        <v>9500</v>
      </c>
      <c r="D112" s="30"/>
      <c r="E112" s="30"/>
      <c r="F112" s="46"/>
      <c r="G112" s="46"/>
      <c r="H112" s="30"/>
      <c r="I112" s="30"/>
      <c r="J112" s="46"/>
      <c r="K112" s="46"/>
      <c r="L112" s="30">
        <f t="shared" si="8"/>
        <v>9500</v>
      </c>
      <c r="M112" s="30">
        <v>0</v>
      </c>
      <c r="N112" s="30">
        <f t="shared" si="10"/>
        <v>9500</v>
      </c>
      <c r="O112" s="40">
        <f t="shared" si="9"/>
        <v>0</v>
      </c>
    </row>
    <row r="113" spans="1:15" ht="15.95" customHeight="1" x14ac:dyDescent="0.2">
      <c r="A113" s="43" t="s">
        <v>150</v>
      </c>
      <c r="B113" s="31" t="s">
        <v>79</v>
      </c>
      <c r="C113" s="30">
        <v>101000</v>
      </c>
      <c r="D113" s="30"/>
      <c r="E113" s="30"/>
      <c r="F113" s="46"/>
      <c r="G113" s="46"/>
      <c r="H113" s="30"/>
      <c r="I113" s="30"/>
      <c r="J113" s="46"/>
      <c r="K113" s="46"/>
      <c r="L113" s="30">
        <f t="shared" si="8"/>
        <v>101000</v>
      </c>
      <c r="M113" s="30">
        <v>0</v>
      </c>
      <c r="N113" s="30">
        <f t="shared" si="10"/>
        <v>101000</v>
      </c>
      <c r="O113" s="40">
        <f t="shared" si="9"/>
        <v>0</v>
      </c>
    </row>
    <row r="114" spans="1:15" ht="15.95" customHeight="1" x14ac:dyDescent="0.2">
      <c r="A114" s="43" t="s">
        <v>151</v>
      </c>
      <c r="B114" s="31" t="s">
        <v>80</v>
      </c>
      <c r="C114" s="30">
        <v>11500</v>
      </c>
      <c r="D114" s="30"/>
      <c r="E114" s="30"/>
      <c r="F114" s="46"/>
      <c r="G114" s="46"/>
      <c r="H114" s="30"/>
      <c r="I114" s="30"/>
      <c r="J114" s="46"/>
      <c r="K114" s="46"/>
      <c r="L114" s="30">
        <f t="shared" si="8"/>
        <v>11500</v>
      </c>
      <c r="M114" s="30">
        <v>119.35</v>
      </c>
      <c r="N114" s="30">
        <f t="shared" si="10"/>
        <v>11380.65</v>
      </c>
      <c r="O114" s="40">
        <f t="shared" si="9"/>
        <v>9.3154702134815406E-4</v>
      </c>
    </row>
    <row r="115" spans="1:15" ht="15.95" customHeight="1" x14ac:dyDescent="0.2">
      <c r="A115" s="43"/>
      <c r="B115" s="31"/>
      <c r="C115" s="30"/>
      <c r="D115" s="30"/>
      <c r="E115" s="30"/>
      <c r="F115" s="46"/>
      <c r="G115" s="46"/>
      <c r="H115" s="30"/>
      <c r="I115" s="30"/>
      <c r="J115" s="46"/>
      <c r="K115" s="46"/>
      <c r="L115" s="30"/>
      <c r="M115" s="30"/>
      <c r="N115" s="30"/>
      <c r="O115" s="40"/>
    </row>
    <row r="116" spans="1:15" ht="15.95" customHeight="1" x14ac:dyDescent="0.2">
      <c r="A116" s="43"/>
      <c r="B116" s="31"/>
      <c r="C116" s="30"/>
      <c r="D116" s="30"/>
      <c r="E116" s="30"/>
      <c r="F116" s="46"/>
      <c r="G116" s="46"/>
      <c r="H116" s="30"/>
      <c r="I116" s="30"/>
      <c r="J116" s="46"/>
      <c r="K116" s="46"/>
      <c r="L116" s="30"/>
      <c r="M116" s="30"/>
      <c r="N116" s="30"/>
      <c r="O116" s="40"/>
    </row>
    <row r="117" spans="1:15" ht="15.95" customHeight="1" x14ac:dyDescent="0.2">
      <c r="A117" s="43"/>
      <c r="B117" s="31"/>
      <c r="C117" s="30"/>
      <c r="D117" s="30"/>
      <c r="E117" s="30"/>
      <c r="F117" s="46"/>
      <c r="G117" s="46"/>
      <c r="H117" s="30"/>
      <c r="I117" s="30"/>
      <c r="J117" s="46"/>
      <c r="K117" s="46"/>
      <c r="L117" s="30"/>
      <c r="M117" s="30"/>
      <c r="N117" s="30"/>
      <c r="O117" s="40"/>
    </row>
    <row r="118" spans="1:15" ht="15.95" customHeight="1" x14ac:dyDescent="0.25">
      <c r="A118" s="41">
        <v>3</v>
      </c>
      <c r="B118" s="42" t="s">
        <v>81</v>
      </c>
      <c r="C118" s="28"/>
      <c r="D118" s="30"/>
      <c r="E118" s="30"/>
      <c r="F118" s="46"/>
      <c r="G118" s="46"/>
      <c r="H118" s="30"/>
      <c r="I118" s="30"/>
      <c r="J118" s="46"/>
      <c r="K118" s="46"/>
      <c r="L118" s="30"/>
      <c r="M118" s="30"/>
      <c r="N118" s="30"/>
      <c r="O118" s="40"/>
    </row>
    <row r="119" spans="1:15" ht="15.95" customHeight="1" x14ac:dyDescent="0.2">
      <c r="A119" s="44" t="s">
        <v>218</v>
      </c>
      <c r="B119" s="45" t="s">
        <v>219</v>
      </c>
      <c r="C119" s="46">
        <v>10000</v>
      </c>
      <c r="D119" s="30"/>
      <c r="E119" s="30"/>
      <c r="F119" s="46"/>
      <c r="G119" s="46"/>
      <c r="H119" s="30"/>
      <c r="I119" s="30"/>
      <c r="J119" s="46"/>
      <c r="K119" s="46"/>
      <c r="L119" s="30">
        <f t="shared" ref="L119:L131" si="11">C119+D119-E119+F119-G119+J119-K119</f>
        <v>10000</v>
      </c>
      <c r="M119" s="30">
        <v>1299</v>
      </c>
      <c r="N119" s="30">
        <f t="shared" si="10"/>
        <v>8701</v>
      </c>
      <c r="O119" s="40">
        <f t="shared" ref="O119:O124" si="12">M119/$M$132</f>
        <v>1.013891563243613E-2</v>
      </c>
    </row>
    <row r="120" spans="1:15" ht="15.95" hidden="1" customHeight="1" x14ac:dyDescent="0.2">
      <c r="A120" s="44" t="s">
        <v>82</v>
      </c>
      <c r="B120" s="45" t="s">
        <v>220</v>
      </c>
      <c r="C120" s="46">
        <v>0</v>
      </c>
      <c r="D120" s="30"/>
      <c r="E120" s="30"/>
      <c r="F120" s="46"/>
      <c r="G120" s="46"/>
      <c r="H120" s="30"/>
      <c r="I120" s="30"/>
      <c r="J120" s="46"/>
      <c r="K120" s="46"/>
      <c r="L120" s="30">
        <f t="shared" si="11"/>
        <v>0</v>
      </c>
      <c r="M120" s="30">
        <v>0</v>
      </c>
      <c r="N120" s="30">
        <f t="shared" si="10"/>
        <v>0</v>
      </c>
      <c r="O120" s="40">
        <f t="shared" si="12"/>
        <v>0</v>
      </c>
    </row>
    <row r="121" spans="1:15" ht="15.95" customHeight="1" x14ac:dyDescent="0.2">
      <c r="A121" s="44" t="s">
        <v>221</v>
      </c>
      <c r="B121" s="45" t="s">
        <v>222</v>
      </c>
      <c r="C121" s="46">
        <v>54035</v>
      </c>
      <c r="D121" s="30"/>
      <c r="E121" s="30"/>
      <c r="F121" s="46"/>
      <c r="G121" s="46"/>
      <c r="H121" s="30"/>
      <c r="I121" s="30"/>
      <c r="J121" s="46"/>
      <c r="K121" s="46"/>
      <c r="L121" s="30">
        <f t="shared" si="11"/>
        <v>54035</v>
      </c>
      <c r="M121" s="30">
        <v>0</v>
      </c>
      <c r="N121" s="30">
        <f t="shared" si="10"/>
        <v>54035</v>
      </c>
      <c r="O121" s="40">
        <f t="shared" si="12"/>
        <v>0</v>
      </c>
    </row>
    <row r="122" spans="1:15" ht="15.95" customHeight="1" x14ac:dyDescent="0.2">
      <c r="A122" s="44" t="s">
        <v>223</v>
      </c>
      <c r="B122" s="45" t="s">
        <v>224</v>
      </c>
      <c r="C122" s="46">
        <v>1500</v>
      </c>
      <c r="D122" s="30"/>
      <c r="E122" s="30"/>
      <c r="F122" s="46"/>
      <c r="G122" s="46"/>
      <c r="H122" s="30"/>
      <c r="I122" s="30"/>
      <c r="J122" s="46"/>
      <c r="K122" s="46"/>
      <c r="L122" s="30">
        <f t="shared" si="11"/>
        <v>1500</v>
      </c>
      <c r="M122" s="30">
        <v>0</v>
      </c>
      <c r="N122" s="30">
        <f t="shared" si="10"/>
        <v>1500</v>
      </c>
      <c r="O122" s="40">
        <f t="shared" si="12"/>
        <v>0</v>
      </c>
    </row>
    <row r="123" spans="1:15" ht="15.95" customHeight="1" x14ac:dyDescent="0.2">
      <c r="A123" s="44" t="s">
        <v>225</v>
      </c>
      <c r="B123" s="45" t="s">
        <v>226</v>
      </c>
      <c r="C123" s="46">
        <v>14300</v>
      </c>
      <c r="D123" s="30"/>
      <c r="E123" s="30"/>
      <c r="F123" s="46"/>
      <c r="G123" s="46"/>
      <c r="H123" s="30"/>
      <c r="I123" s="30"/>
      <c r="J123" s="46"/>
      <c r="K123" s="46"/>
      <c r="L123" s="30">
        <f t="shared" si="11"/>
        <v>14300</v>
      </c>
      <c r="M123" s="30">
        <v>0</v>
      </c>
      <c r="N123" s="30">
        <f t="shared" si="10"/>
        <v>14300</v>
      </c>
      <c r="O123" s="40">
        <f t="shared" si="12"/>
        <v>0</v>
      </c>
    </row>
    <row r="124" spans="1:15" ht="15.95" hidden="1" customHeight="1" x14ac:dyDescent="0.2">
      <c r="A124" s="44" t="s">
        <v>227</v>
      </c>
      <c r="B124" s="45" t="s">
        <v>228</v>
      </c>
      <c r="C124" s="46">
        <v>0</v>
      </c>
      <c r="D124" s="30"/>
      <c r="E124" s="30"/>
      <c r="F124" s="46"/>
      <c r="G124" s="46"/>
      <c r="H124" s="30"/>
      <c r="I124" s="30"/>
      <c r="J124" s="46"/>
      <c r="K124" s="46"/>
      <c r="L124" s="30">
        <f t="shared" si="11"/>
        <v>0</v>
      </c>
      <c r="M124" s="30">
        <v>0</v>
      </c>
      <c r="N124" s="30">
        <f t="shared" si="10"/>
        <v>0</v>
      </c>
      <c r="O124" s="40">
        <f t="shared" si="12"/>
        <v>0</v>
      </c>
    </row>
    <row r="125" spans="1:15" ht="15.95" customHeight="1" x14ac:dyDescent="0.2">
      <c r="A125" s="44"/>
      <c r="B125" s="45"/>
      <c r="C125" s="46"/>
      <c r="D125" s="30"/>
      <c r="E125" s="30"/>
      <c r="F125" s="46"/>
      <c r="G125" s="46"/>
      <c r="H125" s="30"/>
      <c r="I125" s="30"/>
      <c r="J125" s="46"/>
      <c r="K125" s="46"/>
      <c r="L125" s="30"/>
      <c r="M125" s="30"/>
      <c r="N125" s="30"/>
      <c r="O125" s="40"/>
    </row>
    <row r="126" spans="1:15" ht="15.95" customHeight="1" x14ac:dyDescent="0.2">
      <c r="A126" s="43"/>
      <c r="B126" s="31"/>
      <c r="C126" s="30"/>
      <c r="D126" s="30"/>
      <c r="E126" s="30"/>
      <c r="F126" s="46"/>
      <c r="G126" s="46"/>
      <c r="H126" s="30"/>
      <c r="I126" s="30"/>
      <c r="J126" s="46"/>
      <c r="K126" s="46"/>
      <c r="L126" s="30"/>
      <c r="M126" s="30"/>
      <c r="N126" s="30"/>
      <c r="O126" s="40"/>
    </row>
    <row r="127" spans="1:15" ht="15.95" customHeight="1" x14ac:dyDescent="0.25">
      <c r="A127" s="41">
        <v>4</v>
      </c>
      <c r="B127" s="42" t="s">
        <v>83</v>
      </c>
      <c r="C127" s="28"/>
      <c r="D127" s="30"/>
      <c r="E127" s="30"/>
      <c r="F127" s="46"/>
      <c r="G127" s="46"/>
      <c r="H127" s="30"/>
      <c r="I127" s="30"/>
      <c r="J127" s="46"/>
      <c r="K127" s="46"/>
      <c r="L127" s="30"/>
      <c r="M127" s="30"/>
      <c r="N127" s="30"/>
      <c r="O127" s="40"/>
    </row>
    <row r="128" spans="1:15" ht="15.95" customHeight="1" x14ac:dyDescent="0.2">
      <c r="A128" s="43" t="s">
        <v>229</v>
      </c>
      <c r="B128" s="31" t="s">
        <v>84</v>
      </c>
      <c r="C128" s="30">
        <v>140900</v>
      </c>
      <c r="D128" s="30"/>
      <c r="E128" s="30"/>
      <c r="F128" s="46"/>
      <c r="G128" s="46"/>
      <c r="H128" s="30"/>
      <c r="I128" s="30"/>
      <c r="J128" s="46"/>
      <c r="K128" s="46"/>
      <c r="L128" s="30">
        <f t="shared" si="11"/>
        <v>140900</v>
      </c>
      <c r="M128" s="30">
        <v>0</v>
      </c>
      <c r="N128" s="30">
        <f t="shared" si="10"/>
        <v>140900</v>
      </c>
      <c r="O128" s="40">
        <f>M128/$M$132</f>
        <v>0</v>
      </c>
    </row>
    <row r="129" spans="1:15" ht="15.95" customHeight="1" x14ac:dyDescent="0.2">
      <c r="A129" s="43" t="s">
        <v>230</v>
      </c>
      <c r="B129" s="31" t="s">
        <v>231</v>
      </c>
      <c r="C129" s="30">
        <v>7170</v>
      </c>
      <c r="D129" s="30"/>
      <c r="E129" s="30"/>
      <c r="F129" s="30"/>
      <c r="G129" s="30"/>
      <c r="H129" s="30"/>
      <c r="I129" s="30"/>
      <c r="J129" s="46"/>
      <c r="K129" s="46"/>
      <c r="L129" s="30">
        <f t="shared" si="11"/>
        <v>7170</v>
      </c>
      <c r="M129" s="30">
        <v>0</v>
      </c>
      <c r="N129" s="30">
        <f t="shared" si="10"/>
        <v>7170</v>
      </c>
      <c r="O129" s="40">
        <f>M129/$M$132</f>
        <v>0</v>
      </c>
    </row>
    <row r="130" spans="1:15" ht="15.95" customHeight="1" x14ac:dyDescent="0.2">
      <c r="A130" s="43" t="s">
        <v>232</v>
      </c>
      <c r="B130" s="31" t="s">
        <v>233</v>
      </c>
      <c r="C130" s="30">
        <v>163700</v>
      </c>
      <c r="D130" s="30"/>
      <c r="E130" s="30"/>
      <c r="F130" s="30"/>
      <c r="G130" s="30"/>
      <c r="H130" s="30"/>
      <c r="I130" s="30"/>
      <c r="J130" s="46"/>
      <c r="K130" s="46"/>
      <c r="L130" s="30">
        <f t="shared" si="11"/>
        <v>163700</v>
      </c>
      <c r="M130" s="30">
        <v>1600</v>
      </c>
      <c r="N130" s="30">
        <f t="shared" si="10"/>
        <v>162100</v>
      </c>
      <c r="O130" s="40">
        <f>M130/$M$132</f>
        <v>1.2488271756657281E-2</v>
      </c>
    </row>
    <row r="131" spans="1:15" ht="15.95" customHeight="1" thickBot="1" x14ac:dyDescent="0.25">
      <c r="A131" s="43" t="s">
        <v>234</v>
      </c>
      <c r="B131" s="31" t="s">
        <v>235</v>
      </c>
      <c r="C131" s="30">
        <v>8750</v>
      </c>
      <c r="D131" s="30"/>
      <c r="E131" s="30"/>
      <c r="F131" s="30"/>
      <c r="G131" s="30"/>
      <c r="H131" s="30"/>
      <c r="I131" s="30"/>
      <c r="J131" s="46"/>
      <c r="K131" s="46"/>
      <c r="L131" s="30">
        <f t="shared" si="11"/>
        <v>8750</v>
      </c>
      <c r="M131" s="30">
        <v>0</v>
      </c>
      <c r="N131" s="30">
        <f t="shared" si="10"/>
        <v>8750</v>
      </c>
      <c r="O131" s="40">
        <f>M131/$M$132</f>
        <v>0</v>
      </c>
    </row>
    <row r="132" spans="1:15" ht="18" customHeight="1" thickBot="1" x14ac:dyDescent="0.3">
      <c r="A132" s="34"/>
      <c r="B132" s="35" t="s">
        <v>94</v>
      </c>
      <c r="C132" s="36">
        <f t="shared" ref="C132:N132" si="13">SUM(C31:C131)</f>
        <v>6416776.6099999994</v>
      </c>
      <c r="D132" s="36">
        <f t="shared" si="13"/>
        <v>0</v>
      </c>
      <c r="E132" s="36">
        <f t="shared" si="13"/>
        <v>0</v>
      </c>
      <c r="F132" s="36">
        <f t="shared" si="13"/>
        <v>0</v>
      </c>
      <c r="G132" s="36">
        <f t="shared" si="13"/>
        <v>0</v>
      </c>
      <c r="H132" s="36">
        <f t="shared" si="13"/>
        <v>0</v>
      </c>
      <c r="I132" s="36">
        <f t="shared" si="13"/>
        <v>0</v>
      </c>
      <c r="J132" s="71">
        <f t="shared" si="13"/>
        <v>0</v>
      </c>
      <c r="K132" s="71">
        <f t="shared" si="13"/>
        <v>0</v>
      </c>
      <c r="L132" s="36">
        <f t="shared" si="13"/>
        <v>6416776.6099999994</v>
      </c>
      <c r="M132" s="36">
        <f t="shared" si="13"/>
        <v>128120.21000000002</v>
      </c>
      <c r="N132" s="36">
        <f t="shared" si="13"/>
        <v>6288656.4000000004</v>
      </c>
      <c r="O132" s="47">
        <v>1</v>
      </c>
    </row>
    <row r="133" spans="1:15" x14ac:dyDescent="0.2">
      <c r="A133" s="48"/>
      <c r="B133" s="85"/>
      <c r="C133" s="88"/>
      <c r="D133" s="86"/>
      <c r="E133" s="49"/>
      <c r="F133" s="49"/>
      <c r="G133" s="49"/>
      <c r="H133" s="49"/>
      <c r="I133" s="49"/>
      <c r="J133" s="72"/>
      <c r="K133" s="72"/>
      <c r="L133" s="49"/>
      <c r="M133" s="49"/>
      <c r="N133" s="49"/>
    </row>
    <row r="134" spans="1:15" ht="15.75" thickBot="1" x14ac:dyDescent="0.25">
      <c r="B134" s="87"/>
      <c r="C134" s="87"/>
      <c r="D134" s="87"/>
      <c r="E134" s="12"/>
      <c r="L134" s="15"/>
      <c r="M134" s="4"/>
    </row>
    <row r="135" spans="1:15" ht="15.75" x14ac:dyDescent="0.25">
      <c r="A135" s="1" t="s">
        <v>85</v>
      </c>
      <c r="B135" s="2"/>
      <c r="C135" s="3"/>
      <c r="D135" s="4"/>
      <c r="E135" s="4"/>
      <c r="F135" s="4"/>
      <c r="G135" s="4"/>
      <c r="H135" s="4"/>
      <c r="I135" s="4"/>
      <c r="J135" s="73"/>
      <c r="K135" s="73"/>
      <c r="L135" s="4"/>
      <c r="M135" s="4"/>
    </row>
    <row r="136" spans="1:15" ht="15.75" x14ac:dyDescent="0.25">
      <c r="A136" s="5" t="s">
        <v>2</v>
      </c>
      <c r="B136" s="6"/>
      <c r="C136" s="7"/>
      <c r="D136" s="4"/>
      <c r="E136" s="4"/>
      <c r="F136" s="4"/>
      <c r="G136" s="4"/>
      <c r="H136" s="4"/>
      <c r="I136" s="4"/>
      <c r="J136" s="73"/>
      <c r="K136" s="73"/>
      <c r="L136" s="4"/>
      <c r="M136" s="4"/>
    </row>
    <row r="137" spans="1:15" ht="5.0999999999999996" customHeight="1" thickBot="1" x14ac:dyDescent="0.25">
      <c r="A137" s="8"/>
      <c r="B137" s="9"/>
      <c r="C137" s="10"/>
      <c r="D137" s="4"/>
      <c r="E137" s="4"/>
      <c r="F137" s="4"/>
      <c r="G137" s="4"/>
      <c r="H137" s="4"/>
      <c r="I137" s="4"/>
      <c r="J137" s="73"/>
      <c r="K137" s="73"/>
      <c r="L137" s="4"/>
      <c r="M137" s="4"/>
    </row>
    <row r="138" spans="1:15" ht="6.95" customHeight="1" x14ac:dyDescent="0.2">
      <c r="A138" s="51"/>
      <c r="B138" s="52"/>
      <c r="C138" s="53"/>
      <c r="D138" s="4"/>
      <c r="E138" s="4"/>
      <c r="F138" s="4"/>
      <c r="G138" s="4"/>
      <c r="H138" s="4"/>
      <c r="I138" s="4"/>
      <c r="J138" s="73"/>
      <c r="K138" s="73"/>
      <c r="L138" s="4"/>
      <c r="M138" s="4"/>
    </row>
    <row r="139" spans="1:15" x14ac:dyDescent="0.2">
      <c r="A139" s="54" t="s">
        <v>86</v>
      </c>
      <c r="B139" s="55"/>
      <c r="C139" s="56"/>
      <c r="D139" s="4"/>
      <c r="E139" s="4"/>
      <c r="F139" s="4"/>
      <c r="G139" s="4"/>
      <c r="H139" s="4"/>
      <c r="I139" s="4"/>
      <c r="J139" s="73"/>
      <c r="K139" s="73"/>
      <c r="L139" s="4"/>
    </row>
    <row r="140" spans="1:15" x14ac:dyDescent="0.2">
      <c r="A140" s="57" t="s">
        <v>236</v>
      </c>
      <c r="B140" s="55"/>
      <c r="C140" s="76">
        <f>260706.83+1025276.81</f>
        <v>1285983.6400000001</v>
      </c>
      <c r="D140" s="49"/>
      <c r="E140" s="4"/>
      <c r="F140" s="4"/>
      <c r="G140" s="4"/>
      <c r="H140" s="4"/>
      <c r="I140" s="4"/>
      <c r="J140" s="73"/>
      <c r="K140" s="73"/>
      <c r="L140" s="4"/>
    </row>
    <row r="141" spans="1:15" x14ac:dyDescent="0.2">
      <c r="A141" s="57" t="s">
        <v>87</v>
      </c>
      <c r="B141" s="55"/>
      <c r="C141" s="76">
        <f>M26</f>
        <v>370341.77</v>
      </c>
      <c r="D141" s="4"/>
      <c r="E141" s="4"/>
      <c r="F141" s="4"/>
      <c r="G141" s="4"/>
      <c r="H141" s="4"/>
      <c r="I141" s="4"/>
      <c r="J141" s="73"/>
      <c r="K141" s="73"/>
      <c r="L141" s="4"/>
    </row>
    <row r="142" spans="1:15" x14ac:dyDescent="0.2">
      <c r="A142" s="57" t="s">
        <v>88</v>
      </c>
      <c r="B142" s="55"/>
      <c r="C142" s="77">
        <f>-M132</f>
        <v>-128120.21000000002</v>
      </c>
      <c r="D142" s="4"/>
      <c r="E142" s="4"/>
      <c r="F142" s="4"/>
      <c r="G142" s="4"/>
      <c r="H142" s="4"/>
      <c r="I142" s="4"/>
      <c r="J142" s="73"/>
      <c r="K142" s="73"/>
      <c r="L142" s="4"/>
    </row>
    <row r="143" spans="1:15" ht="15.75" x14ac:dyDescent="0.25">
      <c r="A143" s="58" t="s">
        <v>89</v>
      </c>
      <c r="B143" s="59"/>
      <c r="C143" s="78">
        <f>SUM(C140:C142)</f>
        <v>1528205.2000000002</v>
      </c>
      <c r="D143" s="4"/>
      <c r="E143" s="4"/>
      <c r="F143" s="4"/>
      <c r="G143" s="4"/>
      <c r="H143" s="4"/>
      <c r="I143" s="4"/>
      <c r="J143" s="73"/>
      <c r="K143" s="73"/>
      <c r="L143" s="4"/>
    </row>
    <row r="144" spans="1:15" ht="5.0999999999999996" customHeight="1" x14ac:dyDescent="0.25">
      <c r="A144" s="58"/>
      <c r="B144" s="59"/>
      <c r="C144" s="78"/>
      <c r="D144" s="4"/>
      <c r="E144" s="4"/>
      <c r="F144" s="4"/>
      <c r="G144" s="4"/>
      <c r="H144" s="4"/>
      <c r="I144" s="4"/>
      <c r="J144" s="73"/>
      <c r="K144" s="73"/>
      <c r="L144" s="4"/>
    </row>
    <row r="145" spans="1:12" x14ac:dyDescent="0.2">
      <c r="A145" s="54" t="s">
        <v>90</v>
      </c>
      <c r="B145" s="55"/>
      <c r="C145" s="76"/>
      <c r="D145" s="90"/>
      <c r="E145" s="91"/>
      <c r="F145" s="4"/>
      <c r="G145" s="4"/>
      <c r="H145" s="4"/>
      <c r="I145" s="4"/>
      <c r="J145" s="73"/>
      <c r="K145" s="73"/>
      <c r="L145" s="4"/>
    </row>
    <row r="146" spans="1:12" x14ac:dyDescent="0.2">
      <c r="A146" s="57" t="s">
        <v>152</v>
      </c>
      <c r="B146" s="55"/>
      <c r="C146" s="76">
        <v>285.52999999999997</v>
      </c>
      <c r="D146" s="92"/>
      <c r="E146" s="91"/>
      <c r="F146" s="4"/>
      <c r="G146" s="4"/>
      <c r="H146" s="4"/>
      <c r="I146" s="4"/>
      <c r="J146" s="73"/>
      <c r="K146" s="73"/>
      <c r="L146" s="4"/>
    </row>
    <row r="147" spans="1:12" x14ac:dyDescent="0.2">
      <c r="A147" s="57" t="s">
        <v>156</v>
      </c>
      <c r="B147" s="55"/>
      <c r="C147" s="76">
        <v>10784.87</v>
      </c>
      <c r="D147" s="92"/>
      <c r="E147" s="91"/>
      <c r="F147" s="4"/>
      <c r="G147" s="4"/>
      <c r="H147" s="4"/>
      <c r="I147" s="4"/>
      <c r="J147" s="73"/>
      <c r="K147" s="73"/>
      <c r="L147" s="4"/>
    </row>
    <row r="148" spans="1:12" x14ac:dyDescent="0.2">
      <c r="A148" s="57" t="s">
        <v>154</v>
      </c>
      <c r="B148" s="55"/>
      <c r="C148" s="76">
        <v>2059.44</v>
      </c>
      <c r="D148" s="92"/>
      <c r="E148" s="91"/>
      <c r="F148" s="4"/>
      <c r="G148" s="4"/>
      <c r="H148" s="4"/>
      <c r="I148" s="4"/>
      <c r="J148" s="73"/>
      <c r="K148" s="73"/>
      <c r="L148" s="4"/>
    </row>
    <row r="149" spans="1:12" x14ac:dyDescent="0.2">
      <c r="A149" s="57" t="s">
        <v>153</v>
      </c>
      <c r="B149" s="55"/>
      <c r="C149" s="76">
        <v>0</v>
      </c>
      <c r="D149" s="93"/>
      <c r="E149" s="94"/>
      <c r="F149" s="4"/>
      <c r="G149" s="4"/>
      <c r="H149" s="4"/>
      <c r="I149" s="4"/>
      <c r="J149" s="73"/>
      <c r="K149" s="73"/>
      <c r="L149" s="4"/>
    </row>
    <row r="150" spans="1:12" x14ac:dyDescent="0.2">
      <c r="A150" s="57" t="s">
        <v>249</v>
      </c>
      <c r="B150" s="55"/>
      <c r="C150" s="76">
        <v>46067.8</v>
      </c>
      <c r="D150" s="93"/>
      <c r="E150" s="91"/>
      <c r="F150" s="4"/>
      <c r="G150" s="4"/>
      <c r="H150" s="4"/>
      <c r="I150" s="4"/>
      <c r="J150" s="73"/>
      <c r="K150" s="73"/>
      <c r="L150" s="4"/>
    </row>
    <row r="151" spans="1:12" ht="2.1" customHeight="1" x14ac:dyDescent="0.2">
      <c r="A151" s="57"/>
      <c r="B151" s="55"/>
      <c r="C151" s="77"/>
      <c r="D151" s="92"/>
      <c r="E151" s="91"/>
      <c r="F151" s="4"/>
      <c r="G151" s="4"/>
      <c r="H151" s="4"/>
      <c r="I151" s="4"/>
      <c r="J151" s="73"/>
      <c r="K151" s="73"/>
      <c r="L151" s="4"/>
    </row>
    <row r="152" spans="1:12" ht="15.75" x14ac:dyDescent="0.25">
      <c r="A152" s="58"/>
      <c r="B152" s="59"/>
      <c r="C152" s="78">
        <f>SUM(C146:C151)</f>
        <v>59197.640000000007</v>
      </c>
      <c r="D152" s="92"/>
      <c r="E152" s="91"/>
      <c r="F152" s="4"/>
      <c r="G152" s="4"/>
      <c r="H152" s="4"/>
      <c r="I152" s="4"/>
      <c r="J152" s="73"/>
      <c r="K152" s="73"/>
      <c r="L152" s="4"/>
    </row>
    <row r="153" spans="1:12" ht="2.1" customHeight="1" x14ac:dyDescent="0.25">
      <c r="A153" s="58"/>
      <c r="B153" s="59"/>
      <c r="C153" s="79"/>
      <c r="D153" s="90"/>
      <c r="E153" s="91"/>
      <c r="F153" s="4"/>
      <c r="G153" s="4"/>
      <c r="H153" s="4"/>
      <c r="I153" s="4"/>
      <c r="J153" s="73"/>
      <c r="K153" s="73"/>
      <c r="L153" s="4"/>
    </row>
    <row r="154" spans="1:12" ht="9.9499999999999993" customHeight="1" x14ac:dyDescent="0.2">
      <c r="A154" s="57"/>
      <c r="B154" s="55"/>
      <c r="C154" s="76"/>
      <c r="D154" s="90"/>
      <c r="E154" s="91"/>
      <c r="F154" s="4"/>
      <c r="G154" s="4"/>
      <c r="H154" s="4"/>
      <c r="I154" s="4"/>
      <c r="J154" s="73"/>
      <c r="K154" s="73"/>
      <c r="L154" s="4"/>
    </row>
    <row r="155" spans="1:12" ht="16.5" thickBot="1" x14ac:dyDescent="0.3">
      <c r="A155" s="60" t="s">
        <v>237</v>
      </c>
      <c r="B155" s="61"/>
      <c r="C155" s="75">
        <f>C143+C152</f>
        <v>1587402.84</v>
      </c>
      <c r="D155" s="90"/>
      <c r="E155" s="91"/>
      <c r="F155" s="4"/>
      <c r="G155" s="4"/>
      <c r="H155" s="4"/>
      <c r="I155" s="4"/>
      <c r="J155" s="73"/>
      <c r="K155" s="73"/>
      <c r="L155" s="4"/>
    </row>
    <row r="156" spans="1:12" x14ac:dyDescent="0.2">
      <c r="A156" s="62"/>
      <c r="B156" s="62"/>
      <c r="C156" s="63">
        <f>1587402.84-C155</f>
        <v>0</v>
      </c>
      <c r="D156" s="4"/>
      <c r="E156" s="4"/>
      <c r="F156" s="4"/>
      <c r="G156" s="4"/>
      <c r="H156" s="4"/>
      <c r="I156" s="4"/>
      <c r="J156" s="73"/>
      <c r="K156" s="73"/>
      <c r="L156" s="4"/>
    </row>
    <row r="157" spans="1:12" x14ac:dyDescent="0.2">
      <c r="B157" s="11" t="s">
        <v>238</v>
      </c>
      <c r="C157" s="14"/>
      <c r="D157" s="4"/>
    </row>
    <row r="158" spans="1:12" x14ac:dyDescent="0.2">
      <c r="C158" s="14"/>
      <c r="D158" s="4"/>
    </row>
    <row r="159" spans="1:12" x14ac:dyDescent="0.2">
      <c r="C159" s="14"/>
      <c r="D159" s="4"/>
    </row>
    <row r="160" spans="1:12" x14ac:dyDescent="0.2">
      <c r="C160" s="15"/>
      <c r="D160" s="4"/>
      <c r="I160" s="4"/>
      <c r="K160" s="73"/>
      <c r="L160" s="4"/>
    </row>
    <row r="161" spans="2:12" x14ac:dyDescent="0.2">
      <c r="C161" s="15"/>
      <c r="D161" s="4"/>
    </row>
    <row r="162" spans="2:12" x14ac:dyDescent="0.2">
      <c r="C162" s="15"/>
      <c r="D162" s="4"/>
    </row>
    <row r="163" spans="2:12" x14ac:dyDescent="0.2">
      <c r="C163" s="15"/>
      <c r="D163" s="4"/>
    </row>
    <row r="164" spans="2:12" x14ac:dyDescent="0.2">
      <c r="C164" s="15"/>
      <c r="D164" s="4"/>
    </row>
    <row r="165" spans="2:12" x14ac:dyDescent="0.2">
      <c r="D165" s="4"/>
    </row>
    <row r="166" spans="2:12" x14ac:dyDescent="0.2">
      <c r="D166" s="4"/>
    </row>
    <row r="167" spans="2:12" x14ac:dyDescent="0.2">
      <c r="D167" s="4"/>
    </row>
    <row r="168" spans="2:12" x14ac:dyDescent="0.2">
      <c r="B168" s="11" t="s">
        <v>239</v>
      </c>
      <c r="D168" s="4"/>
      <c r="E168" s="13" t="s">
        <v>240</v>
      </c>
      <c r="I168" s="50" t="s">
        <v>95</v>
      </c>
      <c r="K168" s="82"/>
    </row>
    <row r="169" spans="2:12" x14ac:dyDescent="0.2">
      <c r="B169" s="11" t="s">
        <v>91</v>
      </c>
      <c r="D169" s="4"/>
      <c r="E169" s="13" t="s">
        <v>92</v>
      </c>
      <c r="I169" s="50" t="s">
        <v>93</v>
      </c>
      <c r="K169" s="82"/>
    </row>
    <row r="170" spans="2:12" x14ac:dyDescent="0.2">
      <c r="D170" s="4"/>
      <c r="I170" s="13"/>
      <c r="K170" s="83"/>
    </row>
    <row r="174" spans="2:12" x14ac:dyDescent="0.2">
      <c r="I174" s="4"/>
      <c r="K174" s="73"/>
      <c r="L174" s="4"/>
    </row>
    <row r="175" spans="2:12" x14ac:dyDescent="0.2">
      <c r="I175" s="4"/>
      <c r="K175" s="73"/>
      <c r="L175" s="4"/>
    </row>
    <row r="176" spans="2:12" x14ac:dyDescent="0.2">
      <c r="G176" s="64"/>
      <c r="I176" s="64"/>
      <c r="K176" s="74"/>
      <c r="L176" s="4"/>
    </row>
    <row r="177" spans="7:12" x14ac:dyDescent="0.2">
      <c r="G177" s="64"/>
      <c r="I177" s="64"/>
      <c r="K177" s="74"/>
      <c r="L177" s="4"/>
    </row>
    <row r="178" spans="7:12" x14ac:dyDescent="0.2">
      <c r="G178" s="64"/>
      <c r="L178" s="4"/>
    </row>
    <row r="179" spans="7:12" x14ac:dyDescent="0.2">
      <c r="G179" s="64"/>
    </row>
    <row r="180" spans="7:12" x14ac:dyDescent="0.2">
      <c r="G180" s="64"/>
    </row>
    <row r="181" spans="7:12" x14ac:dyDescent="0.2">
      <c r="G181" s="64"/>
      <c r="L181" s="4"/>
    </row>
    <row r="182" spans="7:12" x14ac:dyDescent="0.2">
      <c r="G182" s="64"/>
    </row>
    <row r="183" spans="7:12" x14ac:dyDescent="0.2">
      <c r="G183" s="64"/>
    </row>
    <row r="184" spans="7:12" x14ac:dyDescent="0.2">
      <c r="G184" s="64"/>
    </row>
    <row r="185" spans="7:12" x14ac:dyDescent="0.2">
      <c r="G185" s="64"/>
    </row>
    <row r="186" spans="7:12" x14ac:dyDescent="0.2">
      <c r="G186" s="64"/>
    </row>
    <row r="187" spans="7:12" x14ac:dyDescent="0.2">
      <c r="G187" s="64"/>
    </row>
    <row r="188" spans="7:12" x14ac:dyDescent="0.2">
      <c r="G188" s="64"/>
    </row>
    <row r="189" spans="7:12" x14ac:dyDescent="0.2">
      <c r="G189" s="64"/>
    </row>
    <row r="190" spans="7:12" x14ac:dyDescent="0.2">
      <c r="G190" s="64"/>
    </row>
    <row r="191" spans="7:12" x14ac:dyDescent="0.2">
      <c r="G191" s="64"/>
    </row>
    <row r="192" spans="7:12" x14ac:dyDescent="0.2">
      <c r="G192" s="64"/>
    </row>
    <row r="193" spans="7:7" x14ac:dyDescent="0.2">
      <c r="G193" s="64"/>
    </row>
  </sheetData>
  <mergeCells count="2">
    <mergeCell ref="B6:B7"/>
    <mergeCell ref="M6:M7"/>
  </mergeCells>
  <printOptions horizontalCentered="1"/>
  <pageMargins left="0" right="0" top="0.78740157480314965" bottom="0.78740157480314965" header="0.39370078740157483" footer="0.39370078740157483"/>
  <pageSetup scale="60" orientation="landscape" horizontalDpi="4294967293" r:id="rId1"/>
  <headerFooter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9"/>
  <sheetViews>
    <sheetView zoomScaleNormal="100" workbookViewId="0">
      <selection activeCell="B126" sqref="B126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9" width="16.42578125" style="11" customWidth="1"/>
    <col min="10" max="11" width="13.42578125" style="62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5"/>
      <c r="K1" s="65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5"/>
      <c r="K2" s="65"/>
      <c r="L2" s="16"/>
      <c r="M2" s="16"/>
      <c r="N2" s="16"/>
      <c r="O2" s="17"/>
    </row>
    <row r="3" spans="1:15" ht="15.75" x14ac:dyDescent="0.25">
      <c r="A3" s="16" t="s">
        <v>278</v>
      </c>
      <c r="B3" s="16"/>
      <c r="C3" s="16"/>
      <c r="D3" s="16"/>
      <c r="E3" s="16"/>
      <c r="F3" s="16"/>
      <c r="G3" s="16"/>
      <c r="H3" s="16"/>
      <c r="I3" s="16"/>
      <c r="J3" s="65"/>
      <c r="K3" s="65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5"/>
      <c r="K4" s="65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6"/>
      <c r="K5" s="66"/>
      <c r="L5" s="17"/>
      <c r="M5" s="17"/>
      <c r="N5" s="17"/>
      <c r="O5" s="17"/>
    </row>
    <row r="6" spans="1:15" ht="16.5" thickBot="1" x14ac:dyDescent="0.3">
      <c r="A6" s="18" t="s">
        <v>3</v>
      </c>
      <c r="B6" s="100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9" t="s">
        <v>18</v>
      </c>
      <c r="I6" s="84"/>
      <c r="J6" s="67" t="s">
        <v>155</v>
      </c>
      <c r="K6" s="80" t="s">
        <v>155</v>
      </c>
      <c r="L6" s="18" t="s">
        <v>5</v>
      </c>
      <c r="M6" s="100" t="s">
        <v>8</v>
      </c>
      <c r="N6" s="18" t="s">
        <v>9</v>
      </c>
      <c r="O6" s="18" t="s">
        <v>10</v>
      </c>
    </row>
    <row r="7" spans="1:15" ht="16.5" thickBot="1" x14ac:dyDescent="0.3">
      <c r="A7" s="21" t="s">
        <v>11</v>
      </c>
      <c r="B7" s="101"/>
      <c r="C7" s="21" t="s">
        <v>12</v>
      </c>
      <c r="D7" s="22" t="s">
        <v>13</v>
      </c>
      <c r="E7" s="22" t="s">
        <v>14</v>
      </c>
      <c r="F7" s="22" t="s">
        <v>13</v>
      </c>
      <c r="G7" s="22" t="s">
        <v>14</v>
      </c>
      <c r="H7" s="22" t="s">
        <v>13</v>
      </c>
      <c r="I7" s="23" t="s">
        <v>14</v>
      </c>
      <c r="J7" s="68" t="s">
        <v>13</v>
      </c>
      <c r="K7" s="81" t="s">
        <v>14</v>
      </c>
      <c r="L7" s="21" t="s">
        <v>15</v>
      </c>
      <c r="M7" s="101"/>
      <c r="N7" s="21" t="s">
        <v>16</v>
      </c>
      <c r="O7" s="21" t="s">
        <v>17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9"/>
      <c r="K8" s="69"/>
      <c r="L8" s="25"/>
      <c r="M8" s="25"/>
      <c r="N8" s="25"/>
      <c r="O8" s="26"/>
    </row>
    <row r="9" spans="1:15" ht="15.95" customHeight="1" x14ac:dyDescent="0.25">
      <c r="A9" s="27"/>
      <c r="B9" s="27" t="s">
        <v>187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19</v>
      </c>
      <c r="B10" s="31" t="s">
        <v>188</v>
      </c>
      <c r="C10" s="30">
        <v>33000</v>
      </c>
      <c r="D10" s="30"/>
      <c r="E10" s="30"/>
      <c r="F10" s="30"/>
      <c r="G10" s="30">
        <v>6700</v>
      </c>
      <c r="H10" s="30"/>
      <c r="I10" s="30"/>
      <c r="J10" s="46"/>
      <c r="K10" s="46"/>
      <c r="L10" s="30">
        <f t="shared" ref="L10:L22" si="0">C10+D10-E10+F10-G10+J10-K10</f>
        <v>26300</v>
      </c>
      <c r="M10" s="30">
        <f>13600+7600+600+400+600+600+201</f>
        <v>23601</v>
      </c>
      <c r="N10" s="30">
        <f t="shared" ref="N10:N22" si="1">L10-M10</f>
        <v>2699</v>
      </c>
      <c r="O10" s="29">
        <f>M10/$M$26</f>
        <v>7.4808291747126806E-3</v>
      </c>
    </row>
    <row r="11" spans="1:15" ht="15.95" hidden="1" customHeight="1" x14ac:dyDescent="0.25">
      <c r="A11" s="31" t="s">
        <v>29</v>
      </c>
      <c r="B11" s="31" t="s">
        <v>30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si="0"/>
        <v>0</v>
      </c>
      <c r="M11" s="30">
        <v>0</v>
      </c>
      <c r="N11" s="30">
        <v>0</v>
      </c>
      <c r="O11" s="29"/>
    </row>
    <row r="12" spans="1:15" ht="15.95" customHeight="1" x14ac:dyDescent="0.25">
      <c r="A12" s="31" t="s">
        <v>20</v>
      </c>
      <c r="B12" s="31" t="s">
        <v>189</v>
      </c>
      <c r="C12" s="30">
        <v>25000</v>
      </c>
      <c r="D12" s="30"/>
      <c r="E12" s="30"/>
      <c r="F12" s="30"/>
      <c r="G12" s="30"/>
      <c r="H12" s="30"/>
      <c r="I12" s="30"/>
      <c r="J12" s="46"/>
      <c r="K12" s="46"/>
      <c r="L12" s="30">
        <f t="shared" si="0"/>
        <v>25000</v>
      </c>
      <c r="M12" s="30">
        <f>400.4+1360+750+50</f>
        <v>2560.4</v>
      </c>
      <c r="N12" s="30">
        <f t="shared" si="1"/>
        <v>22439.599999999999</v>
      </c>
      <c r="O12" s="29">
        <f>M12/$M$26</f>
        <v>8.1157217994722042E-4</v>
      </c>
    </row>
    <row r="13" spans="1:15" ht="15.95" customHeight="1" x14ac:dyDescent="0.25">
      <c r="A13" s="31" t="s">
        <v>21</v>
      </c>
      <c r="B13" s="31" t="s">
        <v>190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0"/>
        <v>3500</v>
      </c>
      <c r="M13" s="30">
        <v>0</v>
      </c>
      <c r="N13" s="30">
        <f t="shared" si="1"/>
        <v>3500</v>
      </c>
      <c r="O13" s="29">
        <f>M13/$M$26</f>
        <v>0</v>
      </c>
    </row>
    <row r="14" spans="1:15" ht="15.95" customHeight="1" x14ac:dyDescent="0.25">
      <c r="A14" s="31"/>
      <c r="B14" s="27" t="s">
        <v>191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192</v>
      </c>
      <c r="B15" s="31" t="s">
        <v>245</v>
      </c>
      <c r="C15" s="30">
        <v>3300</v>
      </c>
      <c r="D15" s="30"/>
      <c r="E15" s="30"/>
      <c r="F15" s="30">
        <v>6700</v>
      </c>
      <c r="G15" s="30"/>
      <c r="H15" s="30"/>
      <c r="I15" s="30"/>
      <c r="J15" s="46"/>
      <c r="K15" s="46"/>
      <c r="L15" s="30">
        <f t="shared" si="0"/>
        <v>10000</v>
      </c>
      <c r="M15" s="30">
        <f>471.37+563.88+670.99+877.82+980.93+976.17+3.5+980.48+994.96+3.62+812.42+3.5+182.06</f>
        <v>7521.7</v>
      </c>
      <c r="N15" s="30">
        <f t="shared" si="1"/>
        <v>2478.3000000000002</v>
      </c>
      <c r="O15" s="29">
        <f>M15/$M$26</f>
        <v>2.38415968829441E-3</v>
      </c>
    </row>
    <row r="16" spans="1:15" ht="15.95" customHeight="1" x14ac:dyDescent="0.25">
      <c r="A16" s="27" t="s">
        <v>242</v>
      </c>
      <c r="B16" s="27" t="s">
        <v>243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244</v>
      </c>
      <c r="B17" s="27" t="s">
        <v>241</v>
      </c>
      <c r="C17" s="89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22</v>
      </c>
      <c r="B18" s="31" t="s">
        <v>23</v>
      </c>
      <c r="C18" s="30">
        <v>2996512.52</v>
      </c>
      <c r="D18" s="30"/>
      <c r="E18" s="30"/>
      <c r="F18" s="30"/>
      <c r="G18" s="30"/>
      <c r="H18" s="30"/>
      <c r="I18" s="30"/>
      <c r="J18" s="46"/>
      <c r="K18" s="46"/>
      <c r="L18" s="30">
        <f t="shared" si="0"/>
        <v>2996512.52</v>
      </c>
      <c r="M18" s="30">
        <f>355870+247708.11+247708.11+247708.11+227292.61+228925.85+249709.38+216676.55+174212.3+174212.3</f>
        <v>2370023.3199999998</v>
      </c>
      <c r="N18" s="30">
        <f t="shared" si="1"/>
        <v>626489.20000000019</v>
      </c>
      <c r="O18" s="29">
        <f>M18/$M$26</f>
        <v>0.75122832070697876</v>
      </c>
    </row>
    <row r="19" spans="1:15" ht="15.95" hidden="1" customHeight="1" x14ac:dyDescent="0.25">
      <c r="A19" s="31" t="s">
        <v>24</v>
      </c>
      <c r="B19" s="31" t="s">
        <v>32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0"/>
        <v>0</v>
      </c>
      <c r="M19" s="30">
        <v>0</v>
      </c>
      <c r="N19" s="30">
        <f t="shared" si="1"/>
        <v>0</v>
      </c>
      <c r="O19" s="29">
        <f>M19/$M$26</f>
        <v>0</v>
      </c>
    </row>
    <row r="20" spans="1:15" ht="15.95" customHeight="1" x14ac:dyDescent="0.25">
      <c r="A20" s="31" t="s">
        <v>25</v>
      </c>
      <c r="B20" s="31" t="s">
        <v>26</v>
      </c>
      <c r="C20" s="30">
        <v>1809978.55</v>
      </c>
      <c r="D20" s="30"/>
      <c r="E20" s="30"/>
      <c r="F20" s="30"/>
      <c r="G20" s="30"/>
      <c r="H20" s="30"/>
      <c r="I20" s="30"/>
      <c r="J20" s="46"/>
      <c r="K20" s="46"/>
      <c r="L20" s="30">
        <f t="shared" si="0"/>
        <v>1809978.55</v>
      </c>
      <c r="M20" s="30">
        <f>351172.36+20685+206554.63</f>
        <v>578411.99</v>
      </c>
      <c r="N20" s="30">
        <f t="shared" si="1"/>
        <v>1231566.56</v>
      </c>
      <c r="O20" s="29">
        <f>M20/$M$26</f>
        <v>0.18333974364627004</v>
      </c>
    </row>
    <row r="21" spans="1:15" ht="15.95" customHeight="1" x14ac:dyDescent="0.25">
      <c r="A21" s="31" t="s">
        <v>27</v>
      </c>
      <c r="B21" s="31" t="s">
        <v>28</v>
      </c>
      <c r="C21" s="30">
        <v>20000</v>
      </c>
      <c r="D21" s="30"/>
      <c r="E21" s="30"/>
      <c r="F21" s="30"/>
      <c r="G21" s="30"/>
      <c r="H21" s="30"/>
      <c r="I21" s="30"/>
      <c r="J21" s="46"/>
      <c r="K21" s="46"/>
      <c r="L21" s="30">
        <f t="shared" si="0"/>
        <v>20000</v>
      </c>
      <c r="M21" s="30">
        <v>0</v>
      </c>
      <c r="N21" s="30">
        <f t="shared" si="1"/>
        <v>20000</v>
      </c>
      <c r="O21" s="29">
        <f>M21/$M$26</f>
        <v>0</v>
      </c>
    </row>
    <row r="22" spans="1:15" ht="15.95" customHeight="1" x14ac:dyDescent="0.25">
      <c r="A22" s="32" t="s">
        <v>31</v>
      </c>
      <c r="B22" s="32" t="s">
        <v>33</v>
      </c>
      <c r="C22" s="33">
        <v>239501.9</v>
      </c>
      <c r="D22" s="33"/>
      <c r="E22" s="33"/>
      <c r="F22" s="33"/>
      <c r="G22" s="33"/>
      <c r="H22" s="33"/>
      <c r="I22" s="33"/>
      <c r="J22" s="70"/>
      <c r="K22" s="70"/>
      <c r="L22" s="30">
        <f t="shared" si="0"/>
        <v>239501.9</v>
      </c>
      <c r="M22" s="30">
        <f>53680.2+72857.59+46207.98</f>
        <v>172745.77</v>
      </c>
      <c r="N22" s="30">
        <f t="shared" si="1"/>
        <v>66756.13</v>
      </c>
      <c r="O22" s="29">
        <f>M22/$M$26</f>
        <v>5.4755374603796723E-2</v>
      </c>
    </row>
    <row r="23" spans="1:15" ht="15.95" customHeight="1" x14ac:dyDescent="0.25">
      <c r="A23" s="27"/>
      <c r="B23" s="27" t="s">
        <v>193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30"/>
      <c r="N23" s="28"/>
      <c r="O23" s="29"/>
    </row>
    <row r="24" spans="1:15" ht="15.95" customHeight="1" x14ac:dyDescent="0.25">
      <c r="A24" s="31" t="s">
        <v>196</v>
      </c>
      <c r="B24" s="31" t="s">
        <v>197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>
        <v>0</v>
      </c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195</v>
      </c>
      <c r="B25" s="31" t="s">
        <v>194</v>
      </c>
      <c r="C25" s="30">
        <v>1025276.81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1025276.81</v>
      </c>
      <c r="M25" s="30"/>
      <c r="N25" s="30">
        <f>L25-M25</f>
        <v>1025276.81</v>
      </c>
      <c r="O25" s="29">
        <f>M25/$M$26</f>
        <v>0</v>
      </c>
    </row>
    <row r="26" spans="1:15" ht="18" customHeight="1" thickBot="1" x14ac:dyDescent="0.3">
      <c r="A26" s="34"/>
      <c r="B26" s="35" t="s">
        <v>34</v>
      </c>
      <c r="C26" s="36">
        <f>SUM(C9:C25)</f>
        <v>6416776.6100000013</v>
      </c>
      <c r="D26" s="36">
        <f t="shared" ref="D26:N26" si="2">SUM(D9:D25)</f>
        <v>0</v>
      </c>
      <c r="E26" s="36">
        <f t="shared" si="2"/>
        <v>0</v>
      </c>
      <c r="F26" s="36">
        <f t="shared" si="2"/>
        <v>6700</v>
      </c>
      <c r="G26" s="36">
        <f t="shared" si="2"/>
        <v>6700</v>
      </c>
      <c r="H26" s="36">
        <f t="shared" si="2"/>
        <v>0</v>
      </c>
      <c r="I26" s="36">
        <f t="shared" si="2"/>
        <v>0</v>
      </c>
      <c r="J26" s="36">
        <f t="shared" si="2"/>
        <v>0</v>
      </c>
      <c r="K26" s="36">
        <f t="shared" si="2"/>
        <v>0</v>
      </c>
      <c r="L26" s="36">
        <f t="shared" si="2"/>
        <v>6416776.6100000013</v>
      </c>
      <c r="M26" s="36">
        <f t="shared" si="2"/>
        <v>3154864.18</v>
      </c>
      <c r="N26" s="36">
        <f t="shared" si="2"/>
        <v>3261912.43</v>
      </c>
      <c r="O26" s="29"/>
    </row>
    <row r="27" spans="1:15" ht="15.95" customHeight="1" x14ac:dyDescent="0.2">
      <c r="A27" s="37"/>
      <c r="B27" s="37"/>
      <c r="C27" s="38">
        <f>6416776.61-C26</f>
        <v>0</v>
      </c>
      <c r="D27" s="38"/>
      <c r="E27" s="38"/>
      <c r="F27" s="38"/>
      <c r="G27" s="38"/>
      <c r="H27" s="38"/>
      <c r="I27" s="38"/>
      <c r="J27" s="69"/>
      <c r="K27" s="69"/>
      <c r="L27" s="38"/>
      <c r="M27" s="38"/>
      <c r="N27" s="38"/>
      <c r="O27" s="39"/>
    </row>
    <row r="28" spans="1:15" ht="15.95" customHeight="1" x14ac:dyDescent="0.25">
      <c r="A28" s="27" t="s">
        <v>35</v>
      </c>
      <c r="B28" s="27" t="s">
        <v>36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37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38</v>
      </c>
      <c r="B31" s="31" t="s">
        <v>159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v>628507</v>
      </c>
      <c r="N31" s="30">
        <f t="shared" ref="N31:N97" si="3">L31-M31</f>
        <v>156065.04000000004</v>
      </c>
      <c r="O31" s="40">
        <f t="shared" ref="O31:O40" si="4">M31/$M$136</f>
        <v>0.24889312598701013</v>
      </c>
    </row>
    <row r="32" spans="1:15" ht="15.95" customHeight="1" x14ac:dyDescent="0.2">
      <c r="A32" s="43" t="s">
        <v>39</v>
      </c>
      <c r="B32" s="31" t="s">
        <v>160</v>
      </c>
      <c r="C32" s="30">
        <v>4500</v>
      </c>
      <c r="D32" s="30"/>
      <c r="E32" s="30"/>
      <c r="F32" s="46">
        <v>11000</v>
      </c>
      <c r="G32" s="46"/>
      <c r="H32" s="30"/>
      <c r="I32" s="30"/>
      <c r="J32" s="46"/>
      <c r="K32" s="46"/>
      <c r="L32" s="30">
        <f>C32+D32-E32+F32-G32+H32-I32+J32-K32</f>
        <v>15500</v>
      </c>
      <c r="M32" s="30">
        <v>6375</v>
      </c>
      <c r="N32" s="30">
        <f t="shared" si="3"/>
        <v>9125</v>
      </c>
      <c r="O32" s="40">
        <f t="shared" si="4"/>
        <v>2.5245441628608586E-3</v>
      </c>
    </row>
    <row r="33" spans="1:15" ht="15.95" customHeight="1" x14ac:dyDescent="0.2">
      <c r="A33" s="43" t="s">
        <v>40</v>
      </c>
      <c r="B33" s="31" t="s">
        <v>161</v>
      </c>
      <c r="C33" s="30">
        <v>281100</v>
      </c>
      <c r="D33" s="30"/>
      <c r="E33" s="30"/>
      <c r="F33" s="46"/>
      <c r="G33" s="46"/>
      <c r="H33" s="30"/>
      <c r="I33" s="30"/>
      <c r="J33" s="46"/>
      <c r="K33" s="46"/>
      <c r="L33" s="30">
        <f t="shared" ref="L33:L40" si="5">C33+D33-E33+F33-G33+H33-I33+J33-K33</f>
        <v>281100</v>
      </c>
      <c r="M33" s="30">
        <v>212073.97</v>
      </c>
      <c r="N33" s="30">
        <f t="shared" si="3"/>
        <v>69026.03</v>
      </c>
      <c r="O33" s="40">
        <f t="shared" si="4"/>
        <v>8.3982761264035893E-2</v>
      </c>
    </row>
    <row r="34" spans="1:15" ht="15.95" customHeight="1" x14ac:dyDescent="0.2">
      <c r="A34" s="43" t="s">
        <v>41</v>
      </c>
      <c r="B34" s="31" t="s">
        <v>42</v>
      </c>
      <c r="C34" s="30">
        <v>17500</v>
      </c>
      <c r="D34" s="30"/>
      <c r="E34" s="30"/>
      <c r="F34" s="46"/>
      <c r="G34" s="46"/>
      <c r="H34" s="30"/>
      <c r="I34" s="30"/>
      <c r="J34" s="46"/>
      <c r="K34" s="46"/>
      <c r="L34" s="30">
        <f t="shared" si="5"/>
        <v>17500</v>
      </c>
      <c r="M34" s="30">
        <v>0</v>
      </c>
      <c r="N34" s="30">
        <f t="shared" si="3"/>
        <v>17500</v>
      </c>
      <c r="O34" s="40">
        <f t="shared" si="4"/>
        <v>0</v>
      </c>
    </row>
    <row r="35" spans="1:15" ht="15.95" customHeight="1" x14ac:dyDescent="0.2">
      <c r="A35" s="43" t="s">
        <v>43</v>
      </c>
      <c r="B35" s="31" t="s">
        <v>162</v>
      </c>
      <c r="C35" s="30">
        <v>34510.800000000003</v>
      </c>
      <c r="D35" s="30"/>
      <c r="E35" s="30"/>
      <c r="F35" s="46"/>
      <c r="G35" s="46"/>
      <c r="H35" s="30"/>
      <c r="I35" s="30"/>
      <c r="J35" s="46"/>
      <c r="K35" s="46"/>
      <c r="L35" s="30">
        <f t="shared" si="5"/>
        <v>34510.800000000003</v>
      </c>
      <c r="M35" s="30">
        <v>7079.65</v>
      </c>
      <c r="N35" s="30">
        <f t="shared" si="3"/>
        <v>27431.15</v>
      </c>
      <c r="O35" s="40">
        <f t="shared" si="4"/>
        <v>2.8035904443290786E-3</v>
      </c>
    </row>
    <row r="36" spans="1:15" ht="15.95" customHeight="1" x14ac:dyDescent="0.2">
      <c r="A36" s="43" t="s">
        <v>44</v>
      </c>
      <c r="B36" s="31" t="s">
        <v>163</v>
      </c>
      <c r="C36" s="30">
        <v>87401.15</v>
      </c>
      <c r="D36" s="30"/>
      <c r="E36" s="30"/>
      <c r="F36" s="46"/>
      <c r="G36" s="46"/>
      <c r="H36" s="30"/>
      <c r="I36" s="30"/>
      <c r="J36" s="46"/>
      <c r="K36" s="46"/>
      <c r="L36" s="30">
        <f t="shared" si="5"/>
        <v>87401.15</v>
      </c>
      <c r="M36" s="30">
        <v>68213.91</v>
      </c>
      <c r="N36" s="30">
        <f t="shared" si="3"/>
        <v>19187.239999999991</v>
      </c>
      <c r="O36" s="40">
        <f t="shared" si="4"/>
        <v>2.7013180912378972E-2</v>
      </c>
    </row>
    <row r="37" spans="1:15" ht="15.95" customHeight="1" x14ac:dyDescent="0.2">
      <c r="A37" s="43" t="s">
        <v>45</v>
      </c>
      <c r="B37" s="31" t="s">
        <v>164</v>
      </c>
      <c r="C37" s="30">
        <v>8190.84</v>
      </c>
      <c r="D37" s="30"/>
      <c r="E37" s="30"/>
      <c r="F37" s="46"/>
      <c r="G37" s="46"/>
      <c r="H37" s="30"/>
      <c r="I37" s="30"/>
      <c r="J37" s="46"/>
      <c r="K37" s="46"/>
      <c r="L37" s="30">
        <f t="shared" si="5"/>
        <v>8190.84</v>
      </c>
      <c r="M37" s="30">
        <v>6393.06</v>
      </c>
      <c r="N37" s="30">
        <f t="shared" si="3"/>
        <v>1797.7799999999997</v>
      </c>
      <c r="O37" s="40">
        <f t="shared" si="4"/>
        <v>2.5316960479716457E-3</v>
      </c>
    </row>
    <row r="38" spans="1:15" ht="15.95" customHeight="1" x14ac:dyDescent="0.2">
      <c r="A38" s="43" t="s">
        <v>46</v>
      </c>
      <c r="B38" s="31" t="s">
        <v>47</v>
      </c>
      <c r="C38" s="30">
        <v>67581.009999999995</v>
      </c>
      <c r="D38" s="30"/>
      <c r="E38" s="30"/>
      <c r="F38" s="46">
        <v>3000</v>
      </c>
      <c r="G38" s="46"/>
      <c r="H38" s="30"/>
      <c r="I38" s="30"/>
      <c r="J38" s="46"/>
      <c r="K38" s="46"/>
      <c r="L38" s="30">
        <f t="shared" si="5"/>
        <v>70581.009999999995</v>
      </c>
      <c r="M38" s="30">
        <v>7930.9</v>
      </c>
      <c r="N38" s="30">
        <f t="shared" si="3"/>
        <v>62650.109999999993</v>
      </c>
      <c r="O38" s="40">
        <f t="shared" si="4"/>
        <v>3.1406913413699108E-3</v>
      </c>
    </row>
    <row r="39" spans="1:15" ht="15.95" customHeight="1" x14ac:dyDescent="0.2">
      <c r="A39" s="43" t="s">
        <v>48</v>
      </c>
      <c r="B39" s="31" t="s">
        <v>165</v>
      </c>
      <c r="C39" s="30">
        <v>67581.009999999995</v>
      </c>
      <c r="D39" s="30"/>
      <c r="E39" s="30"/>
      <c r="F39" s="46">
        <v>3000</v>
      </c>
      <c r="G39" s="46"/>
      <c r="H39" s="30"/>
      <c r="I39" s="30"/>
      <c r="J39" s="46"/>
      <c r="K39" s="46"/>
      <c r="L39" s="30">
        <f t="shared" si="5"/>
        <v>70581.009999999995</v>
      </c>
      <c r="M39" s="30">
        <v>65786.990000000005</v>
      </c>
      <c r="N39" s="30">
        <f t="shared" si="3"/>
        <v>4794.0199999999895</v>
      </c>
      <c r="O39" s="40">
        <f t="shared" si="4"/>
        <v>2.6052103779872264E-2</v>
      </c>
    </row>
    <row r="40" spans="1:15" ht="15.95" customHeight="1" x14ac:dyDescent="0.2">
      <c r="A40" s="43" t="s">
        <v>49</v>
      </c>
      <c r="B40" s="31" t="s">
        <v>50</v>
      </c>
      <c r="C40" s="30">
        <v>4400</v>
      </c>
      <c r="D40" s="30"/>
      <c r="E40" s="30"/>
      <c r="F40" s="46"/>
      <c r="G40" s="46"/>
      <c r="H40" s="30">
        <v>1000</v>
      </c>
      <c r="I40" s="30"/>
      <c r="J40" s="46"/>
      <c r="K40" s="46"/>
      <c r="L40" s="30">
        <f t="shared" si="5"/>
        <v>5400</v>
      </c>
      <c r="M40" s="30">
        <v>99.73</v>
      </c>
      <c r="N40" s="30">
        <f t="shared" si="3"/>
        <v>5300.27</v>
      </c>
      <c r="O40" s="40">
        <f t="shared" si="4"/>
        <v>3.9493770880331516E-5</v>
      </c>
    </row>
    <row r="41" spans="1:15" ht="15.95" customHeight="1" x14ac:dyDescent="0.2">
      <c r="A41" s="43"/>
      <c r="B41" s="31"/>
      <c r="C41" s="30"/>
      <c r="D41" s="30"/>
      <c r="E41" s="30"/>
      <c r="F41" s="46"/>
      <c r="G41" s="46"/>
      <c r="H41" s="30"/>
      <c r="I41" s="30"/>
      <c r="J41" s="46"/>
      <c r="K41" s="46"/>
      <c r="L41" s="30"/>
      <c r="M41" s="30"/>
      <c r="N41" s="30"/>
      <c r="O41" s="40"/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5">
      <c r="A43" s="41">
        <v>1</v>
      </c>
      <c r="B43" s="42" t="s">
        <v>51</v>
      </c>
      <c r="C43" s="28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">
      <c r="A44" s="43" t="s">
        <v>96</v>
      </c>
      <c r="B44" s="31" t="s">
        <v>52</v>
      </c>
      <c r="C44" s="30">
        <v>13750</v>
      </c>
      <c r="D44" s="30"/>
      <c r="E44" s="30"/>
      <c r="F44" s="46"/>
      <c r="G44" s="46"/>
      <c r="H44" s="30"/>
      <c r="I44" s="30"/>
      <c r="J44" s="46"/>
      <c r="K44" s="46"/>
      <c r="L44" s="30">
        <f t="shared" ref="L44:L77" si="6">C44+D44-E44+F44-G44+H44-I44+J44-K44</f>
        <v>13750</v>
      </c>
      <c r="M44" s="30">
        <v>5096.16</v>
      </c>
      <c r="N44" s="30">
        <f t="shared" si="3"/>
        <v>8653.84</v>
      </c>
      <c r="O44" s="40">
        <f t="shared" ref="O44:O59" si="7">M44/$M$136</f>
        <v>2.0181146636870577E-3</v>
      </c>
    </row>
    <row r="45" spans="1:15" ht="15.95" customHeight="1" x14ac:dyDescent="0.2">
      <c r="A45" s="43" t="s">
        <v>97</v>
      </c>
      <c r="B45" s="31" t="s">
        <v>53</v>
      </c>
      <c r="C45" s="30">
        <v>26100</v>
      </c>
      <c r="D45" s="30"/>
      <c r="E45" s="30"/>
      <c r="F45" s="46"/>
      <c r="G45" s="46"/>
      <c r="H45" s="30"/>
      <c r="I45" s="30"/>
      <c r="J45" s="46"/>
      <c r="K45" s="46"/>
      <c r="L45" s="30">
        <f t="shared" si="6"/>
        <v>26100</v>
      </c>
      <c r="M45" s="30">
        <v>15208.42</v>
      </c>
      <c r="N45" s="30">
        <f t="shared" si="3"/>
        <v>10891.58</v>
      </c>
      <c r="O45" s="40">
        <f t="shared" si="7"/>
        <v>6.0226396764449155E-3</v>
      </c>
    </row>
    <row r="46" spans="1:15" ht="15.95" customHeight="1" x14ac:dyDescent="0.2">
      <c r="A46" s="43" t="s">
        <v>98</v>
      </c>
      <c r="B46" s="31" t="s">
        <v>54</v>
      </c>
      <c r="C46" s="30">
        <v>2000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2000</v>
      </c>
      <c r="M46" s="30">
        <v>364.6</v>
      </c>
      <c r="N46" s="30">
        <f t="shared" si="3"/>
        <v>1635.4</v>
      </c>
      <c r="O46" s="40">
        <f t="shared" si="7"/>
        <v>1.4438412576926575E-4</v>
      </c>
    </row>
    <row r="47" spans="1:15" ht="15.95" customHeight="1" x14ac:dyDescent="0.2">
      <c r="A47" s="43" t="s">
        <v>99</v>
      </c>
      <c r="B47" s="31" t="s">
        <v>166</v>
      </c>
      <c r="C47" s="30">
        <v>8000</v>
      </c>
      <c r="D47" s="30"/>
      <c r="E47" s="30"/>
      <c r="F47" s="46">
        <v>5000</v>
      </c>
      <c r="G47" s="46"/>
      <c r="H47" s="30"/>
      <c r="I47" s="30"/>
      <c r="J47" s="46"/>
      <c r="K47" s="46"/>
      <c r="L47" s="30">
        <f t="shared" si="6"/>
        <v>13000</v>
      </c>
      <c r="M47" s="30">
        <v>5119.6099999999997</v>
      </c>
      <c r="N47" s="30">
        <f t="shared" si="3"/>
        <v>7880.39</v>
      </c>
      <c r="O47" s="40">
        <f t="shared" si="7"/>
        <v>2.0274010261371106E-3</v>
      </c>
    </row>
    <row r="48" spans="1:15" ht="15.95" customHeight="1" x14ac:dyDescent="0.2">
      <c r="A48" s="43" t="s">
        <v>100</v>
      </c>
      <c r="B48" s="31" t="s">
        <v>167</v>
      </c>
      <c r="C48" s="30">
        <v>14250</v>
      </c>
      <c r="D48" s="30"/>
      <c r="E48" s="30"/>
      <c r="F48" s="46">
        <v>1225</v>
      </c>
      <c r="G48" s="46">
        <v>1325</v>
      </c>
      <c r="H48" s="30"/>
      <c r="I48" s="30"/>
      <c r="J48" s="46"/>
      <c r="K48" s="46"/>
      <c r="L48" s="30">
        <f>C48+D48-E48+F48-G48+H48-I48+J48-K48</f>
        <v>14150</v>
      </c>
      <c r="M48" s="30">
        <v>1494.75</v>
      </c>
      <c r="N48" s="30">
        <f t="shared" si="3"/>
        <v>12655.25</v>
      </c>
      <c r="O48" s="40">
        <f t="shared" si="7"/>
        <v>5.9193135489196366E-4</v>
      </c>
    </row>
    <row r="49" spans="1:15" ht="15.95" customHeight="1" x14ac:dyDescent="0.2">
      <c r="A49" s="43" t="s">
        <v>101</v>
      </c>
      <c r="B49" s="31" t="s">
        <v>168</v>
      </c>
      <c r="C49" s="30">
        <v>1176868.53</v>
      </c>
      <c r="D49" s="30"/>
      <c r="E49" s="30">
        <v>129000</v>
      </c>
      <c r="F49" s="46"/>
      <c r="G49" s="46">
        <v>675646</v>
      </c>
      <c r="H49" s="30"/>
      <c r="I49" s="30"/>
      <c r="J49" s="46"/>
      <c r="K49" s="46"/>
      <c r="L49" s="30">
        <f t="shared" si="6"/>
        <v>372222.53</v>
      </c>
      <c r="M49" s="30">
        <v>242364.35</v>
      </c>
      <c r="N49" s="30">
        <f t="shared" si="3"/>
        <v>129858.18000000002</v>
      </c>
      <c r="O49" s="40">
        <f t="shared" si="7"/>
        <v>9.5977961580873114E-2</v>
      </c>
    </row>
    <row r="50" spans="1:15" ht="15.95" customHeight="1" x14ac:dyDescent="0.2">
      <c r="A50" s="43" t="s">
        <v>102</v>
      </c>
      <c r="B50" s="31" t="s">
        <v>55</v>
      </c>
      <c r="C50" s="30">
        <v>619609.80000000005</v>
      </c>
      <c r="D50" s="30"/>
      <c r="E50" s="30"/>
      <c r="F50" s="46"/>
      <c r="G50" s="46">
        <v>452038.22</v>
      </c>
      <c r="H50" s="30"/>
      <c r="I50" s="30"/>
      <c r="J50" s="46"/>
      <c r="K50" s="46"/>
      <c r="L50" s="30">
        <f t="shared" si="6"/>
        <v>167571.58000000007</v>
      </c>
      <c r="M50" s="30">
        <v>77764.509999999995</v>
      </c>
      <c r="N50" s="30">
        <f t="shared" si="3"/>
        <v>89807.07000000008</v>
      </c>
      <c r="O50" s="40">
        <f t="shared" si="7"/>
        <v>3.0795284674232919E-2</v>
      </c>
    </row>
    <row r="51" spans="1:15" ht="15.95" customHeight="1" x14ac:dyDescent="0.2">
      <c r="A51" s="43" t="s">
        <v>103</v>
      </c>
      <c r="B51" s="31" t="s">
        <v>169</v>
      </c>
      <c r="C51" s="30">
        <v>504047.6</v>
      </c>
      <c r="D51" s="30"/>
      <c r="E51" s="30"/>
      <c r="F51" s="46"/>
      <c r="G51" s="46">
        <v>287247.59999999998</v>
      </c>
      <c r="H51" s="30"/>
      <c r="I51" s="30"/>
      <c r="J51" s="46"/>
      <c r="K51" s="46"/>
      <c r="L51" s="30">
        <f t="shared" si="6"/>
        <v>216800</v>
      </c>
      <c r="M51" s="30">
        <v>161379.76</v>
      </c>
      <c r="N51" s="30">
        <f t="shared" si="3"/>
        <v>55420.239999999991</v>
      </c>
      <c r="O51" s="40">
        <f t="shared" si="7"/>
        <v>6.3907502919511569E-2</v>
      </c>
    </row>
    <row r="52" spans="1:15" ht="15.95" customHeight="1" x14ac:dyDescent="0.2">
      <c r="A52" s="43" t="s">
        <v>104</v>
      </c>
      <c r="B52" s="31" t="s">
        <v>56</v>
      </c>
      <c r="C52" s="30">
        <v>20750</v>
      </c>
      <c r="D52" s="30"/>
      <c r="E52" s="30"/>
      <c r="F52" s="46">
        <v>8000</v>
      </c>
      <c r="G52" s="46"/>
      <c r="H52" s="30">
        <v>100000</v>
      </c>
      <c r="I52" s="30"/>
      <c r="J52" s="46"/>
      <c r="K52" s="46"/>
      <c r="L52" s="30">
        <f t="shared" si="6"/>
        <v>128750</v>
      </c>
      <c r="M52" s="30">
        <v>46144.58</v>
      </c>
      <c r="N52" s="30">
        <f t="shared" si="3"/>
        <v>82605.42</v>
      </c>
      <c r="O52" s="40">
        <f t="shared" si="7"/>
        <v>1.8273573346927988E-2</v>
      </c>
    </row>
    <row r="53" spans="1:15" ht="15.95" customHeight="1" x14ac:dyDescent="0.2">
      <c r="A53" s="43" t="s">
        <v>105</v>
      </c>
      <c r="B53" s="31" t="s">
        <v>57</v>
      </c>
      <c r="C53" s="30">
        <v>42500</v>
      </c>
      <c r="D53" s="30"/>
      <c r="E53" s="30"/>
      <c r="F53" s="46">
        <v>42500</v>
      </c>
      <c r="G53" s="46"/>
      <c r="H53" s="30"/>
      <c r="I53" s="30"/>
      <c r="J53" s="46"/>
      <c r="K53" s="46"/>
      <c r="L53" s="30">
        <f t="shared" si="6"/>
        <v>85000</v>
      </c>
      <c r="M53" s="30">
        <v>4900</v>
      </c>
      <c r="N53" s="30">
        <f t="shared" si="3"/>
        <v>80100</v>
      </c>
      <c r="O53" s="40">
        <f t="shared" si="7"/>
        <v>1.9404339447871696E-3</v>
      </c>
    </row>
    <row r="54" spans="1:15" ht="15.95" customHeight="1" x14ac:dyDescent="0.2">
      <c r="A54" s="43" t="s">
        <v>106</v>
      </c>
      <c r="B54" s="31" t="s">
        <v>58</v>
      </c>
      <c r="C54" s="30">
        <v>4400</v>
      </c>
      <c r="D54" s="30"/>
      <c r="E54" s="30"/>
      <c r="F54" s="46"/>
      <c r="G54" s="46"/>
      <c r="H54" s="30"/>
      <c r="I54" s="30"/>
      <c r="J54" s="46"/>
      <c r="K54" s="46"/>
      <c r="L54" s="30">
        <f t="shared" si="6"/>
        <v>4400</v>
      </c>
      <c r="M54" s="30">
        <v>1620</v>
      </c>
      <c r="N54" s="30">
        <f t="shared" si="3"/>
        <v>2780</v>
      </c>
      <c r="O54" s="40">
        <f t="shared" si="7"/>
        <v>6.4153122256228878E-4</v>
      </c>
    </row>
    <row r="55" spans="1:15" ht="15.95" customHeight="1" x14ac:dyDescent="0.2">
      <c r="A55" s="43" t="s">
        <v>107</v>
      </c>
      <c r="B55" s="31" t="s">
        <v>170</v>
      </c>
      <c r="C55" s="30">
        <v>3004.32</v>
      </c>
      <c r="D55" s="30"/>
      <c r="E55" s="30"/>
      <c r="F55" s="46"/>
      <c r="G55" s="46"/>
      <c r="H55" s="30"/>
      <c r="I55" s="30"/>
      <c r="J55" s="46"/>
      <c r="K55" s="46"/>
      <c r="L55" s="30">
        <f t="shared" si="6"/>
        <v>3004.32</v>
      </c>
      <c r="M55" s="30">
        <v>630</v>
      </c>
      <c r="N55" s="30">
        <f t="shared" si="3"/>
        <v>2374.3200000000002</v>
      </c>
      <c r="O55" s="40">
        <f t="shared" si="7"/>
        <v>2.4948436432977898E-4</v>
      </c>
    </row>
    <row r="56" spans="1:15" ht="15.95" customHeight="1" x14ac:dyDescent="0.2">
      <c r="A56" s="43" t="s">
        <v>108</v>
      </c>
      <c r="B56" s="31" t="s">
        <v>171</v>
      </c>
      <c r="C56" s="30">
        <v>7750</v>
      </c>
      <c r="D56" s="30"/>
      <c r="E56" s="30"/>
      <c r="F56" s="46">
        <v>20000</v>
      </c>
      <c r="G56" s="46"/>
      <c r="H56" s="30"/>
      <c r="I56" s="30"/>
      <c r="J56" s="46"/>
      <c r="K56" s="46"/>
      <c r="L56" s="30">
        <f t="shared" si="6"/>
        <v>27750</v>
      </c>
      <c r="M56" s="30">
        <v>4500</v>
      </c>
      <c r="N56" s="30">
        <f t="shared" si="3"/>
        <v>23250</v>
      </c>
      <c r="O56" s="40">
        <f t="shared" si="7"/>
        <v>1.7820311737841354E-3</v>
      </c>
    </row>
    <row r="57" spans="1:15" ht="15.95" customHeight="1" x14ac:dyDescent="0.2">
      <c r="A57" s="43" t="s">
        <v>109</v>
      </c>
      <c r="B57" s="31" t="s">
        <v>172</v>
      </c>
      <c r="C57" s="30">
        <v>7000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7000</v>
      </c>
      <c r="M57" s="30">
        <v>263.2</v>
      </c>
      <c r="N57" s="30">
        <f t="shared" si="3"/>
        <v>6736.8</v>
      </c>
      <c r="O57" s="40">
        <f t="shared" si="7"/>
        <v>1.0422902331999654E-4</v>
      </c>
    </row>
    <row r="58" spans="1:15" ht="15.95" customHeight="1" x14ac:dyDescent="0.2">
      <c r="A58" s="43" t="s">
        <v>110</v>
      </c>
      <c r="B58" s="31" t="s">
        <v>173</v>
      </c>
      <c r="C58" s="30">
        <v>4000</v>
      </c>
      <c r="D58" s="30"/>
      <c r="E58" s="30"/>
      <c r="F58" s="46">
        <v>3000</v>
      </c>
      <c r="G58" s="46"/>
      <c r="H58" s="30"/>
      <c r="I58" s="30"/>
      <c r="J58" s="46"/>
      <c r="K58" s="46"/>
      <c r="L58" s="30">
        <f t="shared" si="6"/>
        <v>7000</v>
      </c>
      <c r="M58" s="30">
        <v>1335</v>
      </c>
      <c r="N58" s="30">
        <f t="shared" si="3"/>
        <v>5665</v>
      </c>
      <c r="O58" s="40">
        <f t="shared" si="7"/>
        <v>5.2866924822262686E-4</v>
      </c>
    </row>
    <row r="59" spans="1:15" ht="15.95" hidden="1" customHeight="1" x14ac:dyDescent="0.2">
      <c r="A59" s="43" t="s">
        <v>111</v>
      </c>
      <c r="B59" s="31" t="s">
        <v>174</v>
      </c>
      <c r="C59" s="30"/>
      <c r="D59" s="30"/>
      <c r="E59" s="30"/>
      <c r="F59" s="46"/>
      <c r="G59" s="46"/>
      <c r="H59" s="30"/>
      <c r="I59" s="30"/>
      <c r="J59" s="46"/>
      <c r="K59" s="46"/>
      <c r="L59" s="30">
        <f t="shared" si="6"/>
        <v>0</v>
      </c>
      <c r="M59" s="30">
        <v>0</v>
      </c>
      <c r="N59" s="30">
        <f t="shared" si="3"/>
        <v>0</v>
      </c>
      <c r="O59" s="40">
        <f t="shared" si="7"/>
        <v>0</v>
      </c>
    </row>
    <row r="60" spans="1:15" ht="15.95" customHeight="1" x14ac:dyDescent="0.2">
      <c r="A60" s="43">
        <v>169</v>
      </c>
      <c r="B60" s="31" t="s">
        <v>271</v>
      </c>
      <c r="C60" s="30"/>
      <c r="D60" s="30"/>
      <c r="E60" s="30"/>
      <c r="F60" s="46">
        <v>10000</v>
      </c>
      <c r="G60" s="46"/>
      <c r="H60" s="30"/>
      <c r="I60" s="30"/>
      <c r="J60" s="46"/>
      <c r="K60" s="46"/>
      <c r="L60" s="30">
        <f t="shared" si="6"/>
        <v>10000</v>
      </c>
      <c r="M60" s="30"/>
      <c r="N60" s="30">
        <f t="shared" si="3"/>
        <v>10000</v>
      </c>
      <c r="O60" s="40"/>
    </row>
    <row r="61" spans="1:15" ht="15.95" customHeight="1" x14ac:dyDescent="0.2">
      <c r="A61" s="43">
        <v>171</v>
      </c>
      <c r="B61" s="31" t="s">
        <v>174</v>
      </c>
      <c r="C61" s="30"/>
      <c r="D61" s="30"/>
      <c r="E61" s="30"/>
      <c r="F61" s="46">
        <v>225000</v>
      </c>
      <c r="G61" s="46"/>
      <c r="H61" s="30"/>
      <c r="I61" s="30"/>
      <c r="J61" s="46"/>
      <c r="K61" s="46"/>
      <c r="L61" s="30">
        <f t="shared" si="6"/>
        <v>225000</v>
      </c>
      <c r="M61" s="30"/>
      <c r="N61" s="30">
        <f t="shared" si="3"/>
        <v>225000</v>
      </c>
      <c r="O61" s="40"/>
    </row>
    <row r="62" spans="1:15" ht="15.95" customHeight="1" x14ac:dyDescent="0.2">
      <c r="A62" s="43" t="s">
        <v>112</v>
      </c>
      <c r="B62" s="31" t="s">
        <v>175</v>
      </c>
      <c r="C62" s="30">
        <v>9750</v>
      </c>
      <c r="D62" s="30"/>
      <c r="E62" s="30"/>
      <c r="F62" s="46">
        <v>25000</v>
      </c>
      <c r="G62" s="46"/>
      <c r="H62" s="30"/>
      <c r="I62" s="30"/>
      <c r="J62" s="46"/>
      <c r="K62" s="46"/>
      <c r="L62" s="30">
        <f t="shared" si="6"/>
        <v>34750</v>
      </c>
      <c r="M62" s="30">
        <v>0</v>
      </c>
      <c r="N62" s="30">
        <f t="shared" si="3"/>
        <v>34750</v>
      </c>
      <c r="O62" s="40">
        <f t="shared" ref="O62:O77" si="8">M62/$M$136</f>
        <v>0</v>
      </c>
    </row>
    <row r="63" spans="1:15" ht="15.95" customHeight="1" x14ac:dyDescent="0.2">
      <c r="A63" s="43" t="s">
        <v>113</v>
      </c>
      <c r="B63" s="31" t="s">
        <v>176</v>
      </c>
      <c r="C63" s="30">
        <v>260706.83</v>
      </c>
      <c r="D63" s="30"/>
      <c r="E63" s="30"/>
      <c r="F63" s="46"/>
      <c r="G63" s="46"/>
      <c r="H63" s="30"/>
      <c r="I63" s="30"/>
      <c r="J63" s="46"/>
      <c r="K63" s="46"/>
      <c r="L63" s="30">
        <f t="shared" si="6"/>
        <v>260706.83</v>
      </c>
      <c r="M63" s="30">
        <v>0</v>
      </c>
      <c r="N63" s="30">
        <f t="shared" si="3"/>
        <v>260706.83</v>
      </c>
      <c r="O63" s="40">
        <f t="shared" si="8"/>
        <v>0</v>
      </c>
    </row>
    <row r="64" spans="1:15" ht="15.95" customHeight="1" x14ac:dyDescent="0.2">
      <c r="A64" s="43">
        <v>182</v>
      </c>
      <c r="B64" s="31" t="s">
        <v>255</v>
      </c>
      <c r="C64" s="30">
        <v>0</v>
      </c>
      <c r="D64" s="30">
        <v>2500</v>
      </c>
      <c r="E64" s="30"/>
      <c r="F64" s="46"/>
      <c r="G64" s="46"/>
      <c r="H64" s="30"/>
      <c r="I64" s="30"/>
      <c r="J64" s="46"/>
      <c r="K64" s="46"/>
      <c r="L64" s="30">
        <f t="shared" si="6"/>
        <v>2500</v>
      </c>
      <c r="M64" s="30">
        <v>0</v>
      </c>
      <c r="N64" s="30">
        <f t="shared" si="3"/>
        <v>2500</v>
      </c>
      <c r="O64" s="40">
        <f t="shared" si="8"/>
        <v>0</v>
      </c>
    </row>
    <row r="65" spans="1:15" ht="15.95" customHeight="1" x14ac:dyDescent="0.2">
      <c r="A65" s="43" t="s">
        <v>114</v>
      </c>
      <c r="B65" s="31" t="s">
        <v>177</v>
      </c>
      <c r="C65" s="30">
        <v>15000</v>
      </c>
      <c r="D65" s="30">
        <v>12000</v>
      </c>
      <c r="E65" s="30"/>
      <c r="F65" s="46"/>
      <c r="G65" s="46"/>
      <c r="H65" s="30"/>
      <c r="I65" s="30"/>
      <c r="J65" s="46"/>
      <c r="K65" s="46"/>
      <c r="L65" s="30">
        <f t="shared" si="6"/>
        <v>27000</v>
      </c>
      <c r="M65" s="30">
        <v>5350</v>
      </c>
      <c r="N65" s="30">
        <f t="shared" si="3"/>
        <v>21650</v>
      </c>
      <c r="O65" s="40">
        <f t="shared" si="8"/>
        <v>2.118637062165583E-3</v>
      </c>
    </row>
    <row r="66" spans="1:15" ht="15.95" customHeight="1" x14ac:dyDescent="0.2">
      <c r="A66" s="43" t="s">
        <v>115</v>
      </c>
      <c r="B66" s="31" t="s">
        <v>178</v>
      </c>
      <c r="C66" s="30">
        <v>54000</v>
      </c>
      <c r="D66" s="30"/>
      <c r="E66" s="30"/>
      <c r="F66" s="46"/>
      <c r="G66" s="46"/>
      <c r="H66" s="30"/>
      <c r="I66" s="30"/>
      <c r="J66" s="46"/>
      <c r="K66" s="46"/>
      <c r="L66" s="30">
        <f t="shared" si="6"/>
        <v>54000</v>
      </c>
      <c r="M66" s="30">
        <v>45000</v>
      </c>
      <c r="N66" s="30">
        <f t="shared" si="3"/>
        <v>9000</v>
      </c>
      <c r="O66" s="40">
        <f t="shared" si="8"/>
        <v>1.7820311737841352E-2</v>
      </c>
    </row>
    <row r="67" spans="1:15" ht="15.95" customHeight="1" x14ac:dyDescent="0.2">
      <c r="A67" s="43" t="s">
        <v>116</v>
      </c>
      <c r="B67" s="31" t="s">
        <v>59</v>
      </c>
      <c r="C67" s="30">
        <v>7500</v>
      </c>
      <c r="D67" s="30"/>
      <c r="E67" s="30"/>
      <c r="F67" s="46"/>
      <c r="G67" s="46"/>
      <c r="H67" s="30"/>
      <c r="I67" s="30"/>
      <c r="J67" s="46"/>
      <c r="K67" s="46"/>
      <c r="L67" s="30">
        <f t="shared" si="6"/>
        <v>7500</v>
      </c>
      <c r="M67" s="30">
        <v>500</v>
      </c>
      <c r="N67" s="30">
        <f t="shared" si="3"/>
        <v>7000</v>
      </c>
      <c r="O67" s="40">
        <f t="shared" si="8"/>
        <v>1.9800346375379284E-4</v>
      </c>
    </row>
    <row r="68" spans="1:15" ht="15.95" customHeight="1" x14ac:dyDescent="0.2">
      <c r="A68" s="43" t="s">
        <v>117</v>
      </c>
      <c r="B68" s="31" t="s">
        <v>179</v>
      </c>
      <c r="C68" s="30">
        <v>24540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24540</v>
      </c>
      <c r="M68" s="30">
        <v>11142</v>
      </c>
      <c r="N68" s="30">
        <f t="shared" si="3"/>
        <v>13398</v>
      </c>
      <c r="O68" s="40">
        <f t="shared" si="8"/>
        <v>4.4123091862895191E-3</v>
      </c>
    </row>
    <row r="69" spans="1:15" ht="15.95" customHeight="1" x14ac:dyDescent="0.2">
      <c r="A69" s="43" t="s">
        <v>118</v>
      </c>
      <c r="B69" s="31" t="s">
        <v>180</v>
      </c>
      <c r="C69" s="30">
        <v>8000</v>
      </c>
      <c r="D69" s="30"/>
      <c r="E69" s="30"/>
      <c r="F69" s="46">
        <v>1836</v>
      </c>
      <c r="G69" s="46">
        <v>4400</v>
      </c>
      <c r="H69" s="30"/>
      <c r="I69" s="30"/>
      <c r="J69" s="46"/>
      <c r="K69" s="46"/>
      <c r="L69" s="30">
        <f t="shared" si="6"/>
        <v>5436</v>
      </c>
      <c r="M69" s="30">
        <v>3200</v>
      </c>
      <c r="N69" s="30">
        <f t="shared" si="3"/>
        <v>2236</v>
      </c>
      <c r="O69" s="40">
        <f t="shared" si="8"/>
        <v>1.2672221680242741E-3</v>
      </c>
    </row>
    <row r="70" spans="1:15" ht="15.95" customHeight="1" x14ac:dyDescent="0.2">
      <c r="A70" s="43" t="s">
        <v>119</v>
      </c>
      <c r="B70" s="31" t="s">
        <v>181</v>
      </c>
      <c r="C70" s="30">
        <v>8000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8000</v>
      </c>
      <c r="M70" s="30">
        <v>0</v>
      </c>
      <c r="N70" s="30">
        <f t="shared" si="3"/>
        <v>8000</v>
      </c>
      <c r="O70" s="40">
        <f t="shared" si="8"/>
        <v>0</v>
      </c>
    </row>
    <row r="71" spans="1:15" ht="15.95" customHeight="1" x14ac:dyDescent="0.2">
      <c r="A71" s="43" t="s">
        <v>120</v>
      </c>
      <c r="B71" s="31" t="s">
        <v>60</v>
      </c>
      <c r="C71" s="30">
        <v>225800</v>
      </c>
      <c r="D71" s="30">
        <v>17000</v>
      </c>
      <c r="E71" s="30"/>
      <c r="F71" s="46"/>
      <c r="G71" s="46">
        <v>1300</v>
      </c>
      <c r="H71" s="30"/>
      <c r="I71" s="30"/>
      <c r="J71" s="46"/>
      <c r="K71" s="46"/>
      <c r="L71" s="30">
        <f t="shared" si="6"/>
        <v>241500</v>
      </c>
      <c r="M71" s="30">
        <v>212422.5</v>
      </c>
      <c r="N71" s="30">
        <f t="shared" si="3"/>
        <v>29077.5</v>
      </c>
      <c r="O71" s="40">
        <f t="shared" si="8"/>
        <v>8.4120781558480115E-2</v>
      </c>
    </row>
    <row r="72" spans="1:15" ht="15.95" customHeight="1" x14ac:dyDescent="0.2">
      <c r="A72" s="43" t="s">
        <v>121</v>
      </c>
      <c r="B72" s="31" t="s">
        <v>182</v>
      </c>
      <c r="C72" s="30">
        <v>8250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8250</v>
      </c>
      <c r="M72" s="30">
        <v>3768.78</v>
      </c>
      <c r="N72" s="30">
        <f t="shared" si="3"/>
        <v>4481.2199999999993</v>
      </c>
      <c r="O72" s="40">
        <f t="shared" si="8"/>
        <v>1.4924629882520388E-3</v>
      </c>
    </row>
    <row r="73" spans="1:15" ht="15.95" customHeight="1" x14ac:dyDescent="0.2">
      <c r="A73" s="43" t="s">
        <v>122</v>
      </c>
      <c r="B73" s="31" t="s">
        <v>183</v>
      </c>
      <c r="C73" s="30">
        <v>2500</v>
      </c>
      <c r="D73" s="30"/>
      <c r="E73" s="30"/>
      <c r="F73" s="46"/>
      <c r="G73" s="46"/>
      <c r="H73" s="30"/>
      <c r="I73" s="30"/>
      <c r="J73" s="46"/>
      <c r="K73" s="46"/>
      <c r="L73" s="30">
        <f t="shared" si="6"/>
        <v>2500</v>
      </c>
      <c r="M73" s="30">
        <v>1757.99</v>
      </c>
      <c r="N73" s="30">
        <f t="shared" si="3"/>
        <v>742.01</v>
      </c>
      <c r="O73" s="40">
        <f t="shared" si="8"/>
        <v>6.9617621848906046E-4</v>
      </c>
    </row>
    <row r="74" spans="1:15" ht="15.95" customHeight="1" x14ac:dyDescent="0.2">
      <c r="A74" s="43" t="s">
        <v>123</v>
      </c>
      <c r="B74" s="31" t="s">
        <v>61</v>
      </c>
      <c r="C74" s="30">
        <v>7000</v>
      </c>
      <c r="D74" s="30"/>
      <c r="E74" s="30"/>
      <c r="F74" s="46">
        <v>50000</v>
      </c>
      <c r="G74" s="46"/>
      <c r="H74" s="30"/>
      <c r="I74" s="30"/>
      <c r="J74" s="46"/>
      <c r="K74" s="46"/>
      <c r="L74" s="30">
        <f t="shared" si="6"/>
        <v>57000</v>
      </c>
      <c r="M74" s="30">
        <v>47437.47</v>
      </c>
      <c r="N74" s="30">
        <f t="shared" si="3"/>
        <v>9562.5299999999988</v>
      </c>
      <c r="O74" s="40">
        <f t="shared" si="8"/>
        <v>1.878556674343327E-2</v>
      </c>
    </row>
    <row r="75" spans="1:15" ht="15.95" customHeight="1" x14ac:dyDescent="0.2">
      <c r="A75" s="43" t="s">
        <v>124</v>
      </c>
      <c r="B75" s="31" t="s">
        <v>184</v>
      </c>
      <c r="C75" s="30">
        <v>2000</v>
      </c>
      <c r="D75" s="30"/>
      <c r="E75" s="30"/>
      <c r="F75" s="46"/>
      <c r="G75" s="46"/>
      <c r="H75" s="30"/>
      <c r="I75" s="30"/>
      <c r="J75" s="46"/>
      <c r="K75" s="46"/>
      <c r="L75" s="30">
        <f t="shared" si="6"/>
        <v>2000</v>
      </c>
      <c r="M75" s="30">
        <v>0</v>
      </c>
      <c r="N75" s="30">
        <f t="shared" si="3"/>
        <v>2000</v>
      </c>
      <c r="O75" s="40">
        <f t="shared" si="8"/>
        <v>0</v>
      </c>
    </row>
    <row r="76" spans="1:15" ht="15.95" customHeight="1" x14ac:dyDescent="0.2">
      <c r="A76" s="43" t="s">
        <v>185</v>
      </c>
      <c r="B76" s="31" t="s">
        <v>157</v>
      </c>
      <c r="C76" s="30">
        <v>89500</v>
      </c>
      <c r="D76" s="30"/>
      <c r="E76" s="30"/>
      <c r="F76" s="46"/>
      <c r="G76" s="46"/>
      <c r="H76" s="30">
        <v>35000</v>
      </c>
      <c r="I76" s="30"/>
      <c r="J76" s="46"/>
      <c r="K76" s="46"/>
      <c r="L76" s="30">
        <f t="shared" si="6"/>
        <v>124500</v>
      </c>
      <c r="M76" s="30">
        <v>59700</v>
      </c>
      <c r="N76" s="30">
        <f t="shared" si="3"/>
        <v>64800</v>
      </c>
      <c r="O76" s="40">
        <f t="shared" si="8"/>
        <v>2.3641613572202864E-2</v>
      </c>
    </row>
    <row r="77" spans="1:15" ht="15.95" customHeight="1" x14ac:dyDescent="0.2">
      <c r="A77" s="43" t="s">
        <v>125</v>
      </c>
      <c r="B77" s="31" t="s">
        <v>186</v>
      </c>
      <c r="C77" s="30">
        <v>21000</v>
      </c>
      <c r="D77" s="30">
        <v>3500</v>
      </c>
      <c r="E77" s="30"/>
      <c r="F77" s="46">
        <f>15000+100000</f>
        <v>115000</v>
      </c>
      <c r="G77" s="46">
        <v>6000</v>
      </c>
      <c r="H77" s="30"/>
      <c r="I77" s="30"/>
      <c r="J77" s="46"/>
      <c r="K77" s="46"/>
      <c r="L77" s="30">
        <f t="shared" si="6"/>
        <v>133500</v>
      </c>
      <c r="M77" s="30">
        <v>26841.200000000001</v>
      </c>
      <c r="N77" s="30">
        <f t="shared" si="3"/>
        <v>106658.8</v>
      </c>
      <c r="O77" s="40">
        <f t="shared" si="8"/>
        <v>1.0629301142616608E-2</v>
      </c>
    </row>
    <row r="78" spans="1:15" ht="15.95" customHeight="1" x14ac:dyDescent="0.2">
      <c r="A78" s="43"/>
      <c r="B78" s="31"/>
      <c r="C78" s="30"/>
      <c r="D78" s="30"/>
      <c r="E78" s="30"/>
      <c r="F78" s="46"/>
      <c r="G78" s="46"/>
      <c r="H78" s="30"/>
      <c r="I78" s="30"/>
      <c r="J78" s="46"/>
      <c r="K78" s="46"/>
      <c r="L78" s="30"/>
      <c r="M78" s="30"/>
      <c r="N78" s="30"/>
      <c r="O78" s="40"/>
    </row>
    <row r="79" spans="1:15" ht="15.95" customHeight="1" x14ac:dyDescent="0.2">
      <c r="A79" s="43"/>
      <c r="B79" s="31"/>
      <c r="C79" s="30"/>
      <c r="D79" s="30"/>
      <c r="E79" s="30"/>
      <c r="F79" s="46"/>
      <c r="G79" s="46"/>
      <c r="H79" s="30"/>
      <c r="I79" s="30"/>
      <c r="J79" s="46"/>
      <c r="K79" s="46"/>
      <c r="L79" s="30"/>
      <c r="M79" s="30"/>
      <c r="N79" s="30"/>
      <c r="O79" s="40"/>
    </row>
    <row r="80" spans="1:15" ht="15.95" customHeight="1" x14ac:dyDescent="0.25">
      <c r="A80" s="41">
        <v>2</v>
      </c>
      <c r="B80" s="42" t="s">
        <v>62</v>
      </c>
      <c r="C80" s="28"/>
      <c r="D80" s="30"/>
      <c r="E80" s="30"/>
      <c r="F80" s="46"/>
      <c r="G80" s="46"/>
      <c r="H80" s="30"/>
      <c r="I80" s="30"/>
      <c r="J80" s="46"/>
      <c r="K80" s="46"/>
      <c r="L80" s="30"/>
      <c r="M80" s="30"/>
      <c r="N80" s="30"/>
      <c r="O80" s="40"/>
    </row>
    <row r="81" spans="1:15" ht="15.95" customHeight="1" x14ac:dyDescent="0.2">
      <c r="A81" s="43" t="s">
        <v>126</v>
      </c>
      <c r="B81" s="31" t="s">
        <v>63</v>
      </c>
      <c r="C81" s="30">
        <v>114414.1</v>
      </c>
      <c r="D81" s="30"/>
      <c r="E81" s="30"/>
      <c r="F81" s="46"/>
      <c r="G81" s="46">
        <v>29550.1</v>
      </c>
      <c r="H81" s="30"/>
      <c r="I81" s="30"/>
      <c r="J81" s="46"/>
      <c r="K81" s="46"/>
      <c r="L81" s="30">
        <f t="shared" ref="L81:L117" si="9">C81+D81-E81+F81-G81+H81-I81+J81-K81</f>
        <v>84864</v>
      </c>
      <c r="M81" s="30">
        <v>25958.65</v>
      </c>
      <c r="N81" s="30">
        <f t="shared" si="3"/>
        <v>58905.35</v>
      </c>
      <c r="O81" s="40">
        <f t="shared" ref="O81:O117" si="10">M81/$M$136</f>
        <v>1.0279805228744788E-2</v>
      </c>
    </row>
    <row r="82" spans="1:15" ht="15.95" hidden="1" customHeight="1" x14ac:dyDescent="0.2">
      <c r="A82" s="43">
        <v>214</v>
      </c>
      <c r="B82" s="31" t="s">
        <v>198</v>
      </c>
      <c r="C82" s="30"/>
      <c r="D82" s="30"/>
      <c r="E82" s="30"/>
      <c r="F82" s="46"/>
      <c r="G82" s="46"/>
      <c r="H82" s="30"/>
      <c r="I82" s="30"/>
      <c r="J82" s="46"/>
      <c r="K82" s="46"/>
      <c r="L82" s="30">
        <f t="shared" si="9"/>
        <v>0</v>
      </c>
      <c r="M82" s="30">
        <v>0</v>
      </c>
      <c r="N82" s="30">
        <f t="shared" si="3"/>
        <v>0</v>
      </c>
      <c r="O82" s="40">
        <f t="shared" si="10"/>
        <v>0</v>
      </c>
    </row>
    <row r="83" spans="1:15" ht="15.95" customHeight="1" x14ac:dyDescent="0.2">
      <c r="A83" s="43">
        <v>223</v>
      </c>
      <c r="B83" s="31" t="s">
        <v>199</v>
      </c>
      <c r="C83" s="30">
        <v>0</v>
      </c>
      <c r="D83" s="30">
        <v>1500</v>
      </c>
      <c r="E83" s="30"/>
      <c r="F83" s="46">
        <v>2000</v>
      </c>
      <c r="G83" s="46"/>
      <c r="H83" s="30"/>
      <c r="I83" s="30"/>
      <c r="J83" s="46"/>
      <c r="K83" s="46"/>
      <c r="L83" s="30">
        <f t="shared" si="9"/>
        <v>3500</v>
      </c>
      <c r="M83" s="30">
        <v>100</v>
      </c>
      <c r="N83" s="30">
        <f t="shared" si="3"/>
        <v>3400</v>
      </c>
      <c r="O83" s="40">
        <f t="shared" si="10"/>
        <v>3.9600692750758566E-5</v>
      </c>
    </row>
    <row r="84" spans="1:15" ht="15.95" hidden="1" customHeight="1" x14ac:dyDescent="0.2">
      <c r="A84" s="43">
        <v>229</v>
      </c>
      <c r="B84" s="31" t="s">
        <v>200</v>
      </c>
      <c r="C84" s="30"/>
      <c r="D84" s="30"/>
      <c r="E84" s="30"/>
      <c r="F84" s="46"/>
      <c r="G84" s="46"/>
      <c r="H84" s="30"/>
      <c r="I84" s="30"/>
      <c r="J84" s="46"/>
      <c r="K84" s="46"/>
      <c r="L84" s="30">
        <f t="shared" si="9"/>
        <v>0</v>
      </c>
      <c r="M84" s="30">
        <v>0</v>
      </c>
      <c r="N84" s="30">
        <f t="shared" si="3"/>
        <v>0</v>
      </c>
      <c r="O84" s="40">
        <f t="shared" si="10"/>
        <v>0</v>
      </c>
    </row>
    <row r="85" spans="1:15" ht="15.95" customHeight="1" x14ac:dyDescent="0.2">
      <c r="A85" s="43" t="s">
        <v>127</v>
      </c>
      <c r="B85" s="31" t="s">
        <v>64</v>
      </c>
      <c r="C85" s="30">
        <v>2750</v>
      </c>
      <c r="D85" s="30"/>
      <c r="E85" s="30"/>
      <c r="F85" s="46">
        <v>5000</v>
      </c>
      <c r="G85" s="46"/>
      <c r="H85" s="30"/>
      <c r="I85" s="30"/>
      <c r="J85" s="46"/>
      <c r="K85" s="46"/>
      <c r="L85" s="30">
        <f t="shared" si="9"/>
        <v>7750</v>
      </c>
      <c r="M85" s="30">
        <v>1257.47</v>
      </c>
      <c r="N85" s="30">
        <f t="shared" si="3"/>
        <v>6492.53</v>
      </c>
      <c r="O85" s="40">
        <f t="shared" si="10"/>
        <v>4.9796683113296374E-4</v>
      </c>
    </row>
    <row r="86" spans="1:15" ht="15.95" customHeight="1" x14ac:dyDescent="0.2">
      <c r="A86" s="43" t="s">
        <v>128</v>
      </c>
      <c r="B86" s="31" t="s">
        <v>65</v>
      </c>
      <c r="C86" s="30">
        <v>16800</v>
      </c>
      <c r="D86" s="30"/>
      <c r="E86" s="30"/>
      <c r="F86" s="46">
        <v>10000</v>
      </c>
      <c r="G86" s="46"/>
      <c r="H86" s="30"/>
      <c r="I86" s="30"/>
      <c r="J86" s="46"/>
      <c r="K86" s="46"/>
      <c r="L86" s="30">
        <f t="shared" si="9"/>
        <v>26800</v>
      </c>
      <c r="M86" s="30">
        <v>608</v>
      </c>
      <c r="N86" s="30">
        <f t="shared" si="3"/>
        <v>26192</v>
      </c>
      <c r="O86" s="40">
        <f t="shared" si="10"/>
        <v>2.4077221192461207E-4</v>
      </c>
    </row>
    <row r="87" spans="1:15" ht="15.95" customHeight="1" x14ac:dyDescent="0.2">
      <c r="A87" s="43" t="s">
        <v>129</v>
      </c>
      <c r="B87" s="31" t="s">
        <v>66</v>
      </c>
      <c r="C87" s="30">
        <v>5250</v>
      </c>
      <c r="D87" s="30"/>
      <c r="E87" s="30"/>
      <c r="F87" s="46">
        <v>10000</v>
      </c>
      <c r="G87" s="46"/>
      <c r="H87" s="30"/>
      <c r="I87" s="30"/>
      <c r="J87" s="46"/>
      <c r="K87" s="46"/>
      <c r="L87" s="30">
        <f t="shared" si="9"/>
        <v>15250</v>
      </c>
      <c r="M87" s="30">
        <v>2009.35</v>
      </c>
      <c r="N87" s="30">
        <f t="shared" si="3"/>
        <v>13240.65</v>
      </c>
      <c r="O87" s="40">
        <f t="shared" si="10"/>
        <v>7.9571651978736714E-4</v>
      </c>
    </row>
    <row r="88" spans="1:15" ht="15.95" customHeight="1" x14ac:dyDescent="0.2">
      <c r="A88" s="43" t="s">
        <v>130</v>
      </c>
      <c r="B88" s="31" t="s">
        <v>67</v>
      </c>
      <c r="C88" s="30">
        <v>1500</v>
      </c>
      <c r="D88" s="30"/>
      <c r="E88" s="30"/>
      <c r="F88" s="46">
        <f>4000+5000</f>
        <v>9000</v>
      </c>
      <c r="G88" s="46"/>
      <c r="H88" s="30"/>
      <c r="I88" s="30"/>
      <c r="J88" s="46"/>
      <c r="K88" s="46"/>
      <c r="L88" s="30">
        <f t="shared" si="9"/>
        <v>10500</v>
      </c>
      <c r="M88" s="30">
        <v>5109.34</v>
      </c>
      <c r="N88" s="30">
        <f t="shared" si="3"/>
        <v>5390.66</v>
      </c>
      <c r="O88" s="40">
        <f t="shared" si="10"/>
        <v>2.0233340349916076E-3</v>
      </c>
    </row>
    <row r="89" spans="1:15" ht="15.95" customHeight="1" x14ac:dyDescent="0.2">
      <c r="A89" s="43" t="s">
        <v>131</v>
      </c>
      <c r="B89" s="31" t="s">
        <v>201</v>
      </c>
      <c r="C89" s="30">
        <v>3050</v>
      </c>
      <c r="D89" s="30"/>
      <c r="E89" s="30"/>
      <c r="F89" s="46"/>
      <c r="G89" s="46"/>
      <c r="H89" s="30"/>
      <c r="I89" s="30"/>
      <c r="J89" s="46"/>
      <c r="K89" s="46"/>
      <c r="L89" s="30">
        <f t="shared" si="9"/>
        <v>3050</v>
      </c>
      <c r="M89" s="30">
        <v>1409.1</v>
      </c>
      <c r="N89" s="30">
        <f t="shared" si="3"/>
        <v>1640.9</v>
      </c>
      <c r="O89" s="40">
        <f t="shared" si="10"/>
        <v>5.5801336155093893E-4</v>
      </c>
    </row>
    <row r="90" spans="1:15" ht="15.95" customHeight="1" x14ac:dyDescent="0.2">
      <c r="A90" s="43" t="s">
        <v>132</v>
      </c>
      <c r="B90" s="31" t="s">
        <v>68</v>
      </c>
      <c r="C90" s="30">
        <v>875</v>
      </c>
      <c r="D90" s="30"/>
      <c r="E90" s="30"/>
      <c r="F90" s="46"/>
      <c r="G90" s="46"/>
      <c r="H90" s="30"/>
      <c r="I90" s="30"/>
      <c r="J90" s="46"/>
      <c r="K90" s="46"/>
      <c r="L90" s="30">
        <f t="shared" si="9"/>
        <v>875</v>
      </c>
      <c r="M90" s="30">
        <v>35</v>
      </c>
      <c r="N90" s="30">
        <f t="shared" si="3"/>
        <v>840</v>
      </c>
      <c r="O90" s="40">
        <f t="shared" si="10"/>
        <v>1.3860242462765498E-5</v>
      </c>
    </row>
    <row r="91" spans="1:15" ht="15.95" customHeight="1" x14ac:dyDescent="0.2">
      <c r="A91" s="43" t="s">
        <v>133</v>
      </c>
      <c r="B91" s="31" t="s">
        <v>202</v>
      </c>
      <c r="C91" s="30">
        <v>5500</v>
      </c>
      <c r="D91" s="30"/>
      <c r="E91" s="30"/>
      <c r="F91" s="46">
        <v>2000</v>
      </c>
      <c r="G91" s="46"/>
      <c r="H91" s="30"/>
      <c r="I91" s="30"/>
      <c r="J91" s="46"/>
      <c r="K91" s="46"/>
      <c r="L91" s="30">
        <f t="shared" si="9"/>
        <v>7500</v>
      </c>
      <c r="M91" s="30">
        <v>324</v>
      </c>
      <c r="N91" s="30">
        <f t="shared" si="3"/>
        <v>7176</v>
      </c>
      <c r="O91" s="40">
        <f t="shared" si="10"/>
        <v>1.2830624451245774E-4</v>
      </c>
    </row>
    <row r="92" spans="1:15" ht="15.95" customHeight="1" x14ac:dyDescent="0.2">
      <c r="A92" s="43" t="s">
        <v>134</v>
      </c>
      <c r="B92" s="31" t="s">
        <v>69</v>
      </c>
      <c r="C92" s="30">
        <v>2700</v>
      </c>
      <c r="D92" s="30"/>
      <c r="E92" s="30"/>
      <c r="F92" s="46"/>
      <c r="G92" s="46"/>
      <c r="H92" s="30"/>
      <c r="I92" s="30"/>
      <c r="J92" s="46"/>
      <c r="K92" s="46"/>
      <c r="L92" s="30">
        <f t="shared" si="9"/>
        <v>2700</v>
      </c>
      <c r="M92" s="30">
        <v>290</v>
      </c>
      <c r="N92" s="30">
        <f t="shared" si="3"/>
        <v>2410</v>
      </c>
      <c r="O92" s="40">
        <f t="shared" si="10"/>
        <v>1.1484200897719984E-4</v>
      </c>
    </row>
    <row r="93" spans="1:15" ht="15.95" customHeight="1" x14ac:dyDescent="0.2">
      <c r="A93" s="43" t="s">
        <v>203</v>
      </c>
      <c r="B93" s="31" t="s">
        <v>204</v>
      </c>
      <c r="C93" s="30">
        <v>2800</v>
      </c>
      <c r="D93" s="30"/>
      <c r="E93" s="30"/>
      <c r="F93" s="46">
        <v>2000</v>
      </c>
      <c r="G93" s="46"/>
      <c r="H93" s="30"/>
      <c r="I93" s="30"/>
      <c r="J93" s="46"/>
      <c r="K93" s="46"/>
      <c r="L93" s="30">
        <f t="shared" si="9"/>
        <v>4800</v>
      </c>
      <c r="M93" s="30">
        <v>202</v>
      </c>
      <c r="N93" s="30">
        <f t="shared" si="3"/>
        <v>4598</v>
      </c>
      <c r="O93" s="40">
        <f t="shared" si="10"/>
        <v>7.9993399356532305E-5</v>
      </c>
    </row>
    <row r="94" spans="1:15" ht="15.95" customHeight="1" x14ac:dyDescent="0.2">
      <c r="A94" s="43" t="s">
        <v>135</v>
      </c>
      <c r="B94" s="31" t="s">
        <v>70</v>
      </c>
      <c r="C94" s="30">
        <v>8500</v>
      </c>
      <c r="D94" s="30"/>
      <c r="E94" s="30"/>
      <c r="F94" s="46">
        <v>2000</v>
      </c>
      <c r="G94" s="46"/>
      <c r="H94" s="30"/>
      <c r="I94" s="30"/>
      <c r="J94" s="46"/>
      <c r="K94" s="46"/>
      <c r="L94" s="30">
        <f t="shared" si="9"/>
        <v>10500</v>
      </c>
      <c r="M94" s="30">
        <v>4271.9399999999996</v>
      </c>
      <c r="N94" s="30">
        <f t="shared" si="3"/>
        <v>6228.06</v>
      </c>
      <c r="O94" s="40">
        <f t="shared" si="10"/>
        <v>1.6917178338967552E-3</v>
      </c>
    </row>
    <row r="95" spans="1:15" ht="15.95" customHeight="1" x14ac:dyDescent="0.2">
      <c r="A95" s="43" t="s">
        <v>136</v>
      </c>
      <c r="B95" s="31" t="s">
        <v>205</v>
      </c>
      <c r="C95" s="30">
        <v>2000</v>
      </c>
      <c r="D95" s="30"/>
      <c r="E95" s="30"/>
      <c r="F95" s="46">
        <v>6000</v>
      </c>
      <c r="G95" s="46"/>
      <c r="H95" s="30"/>
      <c r="I95" s="30"/>
      <c r="J95" s="46"/>
      <c r="K95" s="46"/>
      <c r="L95" s="30">
        <f t="shared" si="9"/>
        <v>8000</v>
      </c>
      <c r="M95" s="30">
        <v>2228.87</v>
      </c>
      <c r="N95" s="30">
        <f t="shared" si="3"/>
        <v>5771.13</v>
      </c>
      <c r="O95" s="40">
        <f t="shared" si="10"/>
        <v>8.8264796051383239E-4</v>
      </c>
    </row>
    <row r="96" spans="1:15" ht="15.95" customHeight="1" x14ac:dyDescent="0.2">
      <c r="A96" s="43" t="s">
        <v>137</v>
      </c>
      <c r="B96" s="31" t="s">
        <v>71</v>
      </c>
      <c r="C96" s="30">
        <v>17500</v>
      </c>
      <c r="D96" s="30"/>
      <c r="E96" s="30"/>
      <c r="F96" s="46"/>
      <c r="G96" s="46"/>
      <c r="H96" s="30"/>
      <c r="I96" s="30"/>
      <c r="J96" s="46"/>
      <c r="K96" s="46"/>
      <c r="L96" s="30">
        <f t="shared" si="9"/>
        <v>17500</v>
      </c>
      <c r="M96" s="30">
        <v>6147.13</v>
      </c>
      <c r="N96" s="30">
        <f t="shared" si="3"/>
        <v>11352.869999999999</v>
      </c>
      <c r="O96" s="40">
        <f t="shared" si="10"/>
        <v>2.4343060642897049E-3</v>
      </c>
    </row>
    <row r="97" spans="1:15" ht="15.95" customHeight="1" x14ac:dyDescent="0.2">
      <c r="A97" s="43" t="s">
        <v>138</v>
      </c>
      <c r="B97" s="31" t="s">
        <v>206</v>
      </c>
      <c r="C97" s="30">
        <v>3000</v>
      </c>
      <c r="D97" s="30"/>
      <c r="E97" s="30"/>
      <c r="F97" s="46"/>
      <c r="G97" s="46"/>
      <c r="H97" s="30"/>
      <c r="I97" s="30"/>
      <c r="J97" s="46"/>
      <c r="K97" s="46"/>
      <c r="L97" s="30">
        <f t="shared" si="9"/>
        <v>3000</v>
      </c>
      <c r="M97" s="30">
        <v>1894.85</v>
      </c>
      <c r="N97" s="30">
        <f t="shared" si="3"/>
        <v>1105.1500000000001</v>
      </c>
      <c r="O97" s="40">
        <f t="shared" si="10"/>
        <v>7.5037372658774866E-4</v>
      </c>
    </row>
    <row r="98" spans="1:15" ht="15.95" customHeight="1" x14ac:dyDescent="0.2">
      <c r="A98" s="43" t="s">
        <v>139</v>
      </c>
      <c r="B98" s="31" t="s">
        <v>207</v>
      </c>
      <c r="C98" s="30">
        <v>1500</v>
      </c>
      <c r="D98" s="30"/>
      <c r="E98" s="30"/>
      <c r="F98" s="46">
        <v>2000</v>
      </c>
      <c r="G98" s="46"/>
      <c r="H98" s="30"/>
      <c r="I98" s="30"/>
      <c r="J98" s="46"/>
      <c r="K98" s="46"/>
      <c r="L98" s="30">
        <f t="shared" si="9"/>
        <v>3500</v>
      </c>
      <c r="M98" s="30">
        <v>169</v>
      </c>
      <c r="N98" s="30">
        <f t="shared" ref="N98:N135" si="11">L98-M98</f>
        <v>3331</v>
      </c>
      <c r="O98" s="40">
        <f t="shared" si="10"/>
        <v>6.6925170748781976E-5</v>
      </c>
    </row>
    <row r="99" spans="1:15" ht="15.95" customHeight="1" x14ac:dyDescent="0.2">
      <c r="A99" s="43" t="s">
        <v>140</v>
      </c>
      <c r="B99" s="31" t="s">
        <v>72</v>
      </c>
      <c r="C99" s="30">
        <v>210345</v>
      </c>
      <c r="D99" s="30"/>
      <c r="E99" s="30"/>
      <c r="F99" s="46"/>
      <c r="G99" s="46"/>
      <c r="H99" s="30"/>
      <c r="I99" s="30"/>
      <c r="J99" s="46"/>
      <c r="K99" s="46"/>
      <c r="L99" s="30">
        <f t="shared" si="9"/>
        <v>210345</v>
      </c>
      <c r="M99" s="30">
        <v>89968.29</v>
      </c>
      <c r="N99" s="30">
        <f t="shared" si="11"/>
        <v>120376.71</v>
      </c>
      <c r="O99" s="40">
        <f t="shared" si="10"/>
        <v>3.5628066096011442E-2</v>
      </c>
    </row>
    <row r="100" spans="1:15" ht="15.95" hidden="1" customHeight="1" x14ac:dyDescent="0.2">
      <c r="A100" s="43">
        <v>272</v>
      </c>
      <c r="B100" s="31" t="s">
        <v>208</v>
      </c>
      <c r="C100" s="30"/>
      <c r="D100" s="30"/>
      <c r="E100" s="30"/>
      <c r="F100" s="46"/>
      <c r="G100" s="46"/>
      <c r="H100" s="30"/>
      <c r="I100" s="30"/>
      <c r="J100" s="46"/>
      <c r="K100" s="46"/>
      <c r="L100" s="30">
        <f t="shared" si="9"/>
        <v>0</v>
      </c>
      <c r="M100" s="30">
        <v>0</v>
      </c>
      <c r="N100" s="30">
        <f t="shared" si="11"/>
        <v>0</v>
      </c>
      <c r="O100" s="40">
        <f t="shared" si="10"/>
        <v>0</v>
      </c>
    </row>
    <row r="101" spans="1:15" ht="15.95" hidden="1" customHeight="1" x14ac:dyDescent="0.2">
      <c r="A101" s="43" t="s">
        <v>141</v>
      </c>
      <c r="B101" s="31" t="s">
        <v>209</v>
      </c>
      <c r="C101" s="30"/>
      <c r="D101" s="30"/>
      <c r="E101" s="30"/>
      <c r="F101" s="46"/>
      <c r="G101" s="46"/>
      <c r="H101" s="30"/>
      <c r="I101" s="30"/>
      <c r="J101" s="46"/>
      <c r="K101" s="46"/>
      <c r="L101" s="30">
        <f t="shared" si="9"/>
        <v>0</v>
      </c>
      <c r="M101" s="30">
        <v>0</v>
      </c>
      <c r="N101" s="30">
        <f t="shared" si="11"/>
        <v>0</v>
      </c>
      <c r="O101" s="40">
        <f t="shared" si="10"/>
        <v>0</v>
      </c>
    </row>
    <row r="102" spans="1:15" ht="15.95" customHeight="1" x14ac:dyDescent="0.2">
      <c r="A102" s="43">
        <v>274</v>
      </c>
      <c r="B102" s="31" t="s">
        <v>73</v>
      </c>
      <c r="C102" s="30">
        <v>1500</v>
      </c>
      <c r="D102" s="30"/>
      <c r="E102" s="30"/>
      <c r="F102" s="46"/>
      <c r="G102" s="46"/>
      <c r="H102" s="30"/>
      <c r="I102" s="30"/>
      <c r="J102" s="46"/>
      <c r="K102" s="46"/>
      <c r="L102" s="30">
        <f t="shared" si="9"/>
        <v>1500</v>
      </c>
      <c r="M102" s="30">
        <v>237</v>
      </c>
      <c r="N102" s="30">
        <f t="shared" si="11"/>
        <v>1263</v>
      </c>
      <c r="O102" s="40">
        <f t="shared" si="10"/>
        <v>9.3853641819297793E-5</v>
      </c>
    </row>
    <row r="103" spans="1:15" ht="15.95" hidden="1" customHeight="1" x14ac:dyDescent="0.2">
      <c r="A103" s="43">
        <v>275</v>
      </c>
      <c r="B103" s="31" t="s">
        <v>210</v>
      </c>
      <c r="C103" s="30"/>
      <c r="D103" s="30"/>
      <c r="E103" s="30"/>
      <c r="F103" s="46"/>
      <c r="G103" s="46"/>
      <c r="H103" s="30"/>
      <c r="I103" s="30"/>
      <c r="J103" s="46"/>
      <c r="K103" s="46"/>
      <c r="L103" s="30">
        <f t="shared" si="9"/>
        <v>0</v>
      </c>
      <c r="M103" s="30">
        <v>0</v>
      </c>
      <c r="N103" s="30">
        <f t="shared" si="11"/>
        <v>0</v>
      </c>
      <c r="O103" s="40">
        <f t="shared" si="10"/>
        <v>0</v>
      </c>
    </row>
    <row r="104" spans="1:15" ht="15.95" customHeight="1" x14ac:dyDescent="0.2">
      <c r="A104" s="43">
        <v>279</v>
      </c>
      <c r="B104" s="31" t="s">
        <v>211</v>
      </c>
      <c r="C104" s="30">
        <v>750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9"/>
        <v>750</v>
      </c>
      <c r="M104" s="30">
        <v>0</v>
      </c>
      <c r="N104" s="30">
        <f t="shared" si="11"/>
        <v>750</v>
      </c>
      <c r="O104" s="40">
        <f t="shared" si="10"/>
        <v>0</v>
      </c>
    </row>
    <row r="105" spans="1:15" ht="15.95" hidden="1" customHeight="1" x14ac:dyDescent="0.2">
      <c r="A105" s="43">
        <v>281</v>
      </c>
      <c r="B105" s="31" t="s">
        <v>212</v>
      </c>
      <c r="C105" s="30"/>
      <c r="D105" s="30"/>
      <c r="E105" s="30"/>
      <c r="F105" s="46"/>
      <c r="G105" s="46"/>
      <c r="H105" s="30"/>
      <c r="I105" s="30"/>
      <c r="J105" s="46"/>
      <c r="K105" s="46"/>
      <c r="L105" s="30">
        <f t="shared" si="9"/>
        <v>0</v>
      </c>
      <c r="M105" s="30">
        <v>0</v>
      </c>
      <c r="N105" s="30">
        <f t="shared" si="11"/>
        <v>0</v>
      </c>
      <c r="O105" s="40">
        <f t="shared" si="10"/>
        <v>0</v>
      </c>
    </row>
    <row r="106" spans="1:15" ht="15.95" customHeight="1" x14ac:dyDescent="0.2">
      <c r="A106" s="43" t="s">
        <v>142</v>
      </c>
      <c r="B106" s="31" t="s">
        <v>213</v>
      </c>
      <c r="C106" s="30">
        <v>1800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9"/>
        <v>1800</v>
      </c>
      <c r="M106" s="30">
        <v>233.06</v>
      </c>
      <c r="N106" s="30">
        <f t="shared" si="11"/>
        <v>1566.94</v>
      </c>
      <c r="O106" s="40">
        <f t="shared" si="10"/>
        <v>9.2293374524917907E-5</v>
      </c>
    </row>
    <row r="107" spans="1:15" ht="15.95" customHeight="1" x14ac:dyDescent="0.2">
      <c r="A107" s="43" t="s">
        <v>143</v>
      </c>
      <c r="B107" s="31" t="s">
        <v>74</v>
      </c>
      <c r="C107" s="30">
        <v>8800</v>
      </c>
      <c r="D107" s="30">
        <v>15000</v>
      </c>
      <c r="E107" s="30"/>
      <c r="F107" s="46">
        <v>10000</v>
      </c>
      <c r="G107" s="46"/>
      <c r="H107" s="30"/>
      <c r="I107" s="30"/>
      <c r="J107" s="46"/>
      <c r="K107" s="46"/>
      <c r="L107" s="30">
        <f t="shared" si="9"/>
        <v>33800</v>
      </c>
      <c r="M107" s="30">
        <v>2189.8200000000002</v>
      </c>
      <c r="N107" s="30">
        <f t="shared" si="11"/>
        <v>31610.18</v>
      </c>
      <c r="O107" s="40">
        <f t="shared" si="10"/>
        <v>8.671838899946613E-4</v>
      </c>
    </row>
    <row r="108" spans="1:15" ht="15.95" customHeight="1" x14ac:dyDescent="0.2">
      <c r="A108" s="43" t="s">
        <v>144</v>
      </c>
      <c r="B108" s="31" t="s">
        <v>75</v>
      </c>
      <c r="C108" s="30">
        <v>800821.67999999993</v>
      </c>
      <c r="D108" s="30"/>
      <c r="E108" s="30"/>
      <c r="F108" s="46">
        <v>106800</v>
      </c>
      <c r="G108" s="46">
        <v>7621</v>
      </c>
      <c r="H108" s="30"/>
      <c r="I108" s="30"/>
      <c r="J108" s="46"/>
      <c r="K108" s="46"/>
      <c r="L108" s="30">
        <f t="shared" si="9"/>
        <v>900000.67999999993</v>
      </c>
      <c r="M108" s="30">
        <v>0</v>
      </c>
      <c r="N108" s="30">
        <f t="shared" si="11"/>
        <v>900000.67999999993</v>
      </c>
      <c r="O108" s="40">
        <f t="shared" si="10"/>
        <v>0</v>
      </c>
    </row>
    <row r="109" spans="1:15" ht="15.95" customHeight="1" x14ac:dyDescent="0.2">
      <c r="A109" s="43">
        <v>286</v>
      </c>
      <c r="B109" s="31" t="s">
        <v>214</v>
      </c>
      <c r="C109" s="30">
        <v>1500</v>
      </c>
      <c r="D109" s="30"/>
      <c r="E109" s="30"/>
      <c r="F109" s="46">
        <v>3000</v>
      </c>
      <c r="G109" s="46"/>
      <c r="H109" s="30"/>
      <c r="I109" s="30"/>
      <c r="J109" s="46"/>
      <c r="K109" s="46"/>
      <c r="L109" s="30">
        <f t="shared" si="9"/>
        <v>4500</v>
      </c>
      <c r="M109" s="30">
        <v>132.80000000000001</v>
      </c>
      <c r="N109" s="30">
        <f t="shared" si="11"/>
        <v>4367.2</v>
      </c>
      <c r="O109" s="40">
        <f t="shared" si="10"/>
        <v>5.2589719973007381E-5</v>
      </c>
    </row>
    <row r="110" spans="1:15" ht="15.95" hidden="1" customHeight="1" x14ac:dyDescent="0.2">
      <c r="A110" s="43">
        <v>289</v>
      </c>
      <c r="B110" s="31" t="s">
        <v>215</v>
      </c>
      <c r="C110" s="30"/>
      <c r="D110" s="30"/>
      <c r="E110" s="30"/>
      <c r="F110" s="46"/>
      <c r="G110" s="46"/>
      <c r="H110" s="30"/>
      <c r="I110" s="30"/>
      <c r="J110" s="46"/>
      <c r="K110" s="46"/>
      <c r="L110" s="30">
        <f t="shared" si="9"/>
        <v>0</v>
      </c>
      <c r="M110" s="30">
        <v>0</v>
      </c>
      <c r="N110" s="30">
        <f t="shared" si="11"/>
        <v>0</v>
      </c>
      <c r="O110" s="40">
        <f t="shared" si="10"/>
        <v>0</v>
      </c>
    </row>
    <row r="111" spans="1:15" ht="15.95" customHeight="1" x14ac:dyDescent="0.2">
      <c r="A111" s="43" t="s">
        <v>145</v>
      </c>
      <c r="B111" s="31" t="s">
        <v>76</v>
      </c>
      <c r="C111" s="30">
        <v>6600</v>
      </c>
      <c r="D111" s="30"/>
      <c r="E111" s="30"/>
      <c r="F111" s="46">
        <v>5000</v>
      </c>
      <c r="G111" s="46"/>
      <c r="H111" s="30"/>
      <c r="I111" s="30"/>
      <c r="J111" s="46"/>
      <c r="K111" s="46"/>
      <c r="L111" s="30">
        <f t="shared" si="9"/>
        <v>11600</v>
      </c>
      <c r="M111" s="30">
        <v>3410.36</v>
      </c>
      <c r="N111" s="30">
        <f t="shared" si="11"/>
        <v>8189.6399999999994</v>
      </c>
      <c r="O111" s="40">
        <f t="shared" si="10"/>
        <v>1.3505261852947699E-3</v>
      </c>
    </row>
    <row r="112" spans="1:15" ht="15.95" customHeight="1" x14ac:dyDescent="0.2">
      <c r="A112" s="43" t="s">
        <v>146</v>
      </c>
      <c r="B112" s="31" t="s">
        <v>216</v>
      </c>
      <c r="C112" s="30">
        <v>2000</v>
      </c>
      <c r="D112" s="30"/>
      <c r="E112" s="30"/>
      <c r="F112" s="46">
        <v>6000</v>
      </c>
      <c r="G112" s="46"/>
      <c r="H112" s="30"/>
      <c r="I112" s="30"/>
      <c r="J112" s="46"/>
      <c r="K112" s="46"/>
      <c r="L112" s="30">
        <f t="shared" si="9"/>
        <v>8000</v>
      </c>
      <c r="M112" s="30">
        <v>2765.23</v>
      </c>
      <c r="N112" s="30">
        <f t="shared" si="11"/>
        <v>5234.7700000000004</v>
      </c>
      <c r="O112" s="40">
        <f t="shared" si="10"/>
        <v>1.095050236151801E-3</v>
      </c>
    </row>
    <row r="113" spans="1:15" ht="15.95" customHeight="1" x14ac:dyDescent="0.2">
      <c r="A113" s="43" t="s">
        <v>147</v>
      </c>
      <c r="B113" s="31" t="s">
        <v>77</v>
      </c>
      <c r="C113" s="30">
        <v>115251.9</v>
      </c>
      <c r="D113" s="30">
        <f>4500+21000+10000</f>
        <v>35500</v>
      </c>
      <c r="E113" s="30"/>
      <c r="F113" s="46"/>
      <c r="G113" s="46">
        <v>3150</v>
      </c>
      <c r="H113" s="30"/>
      <c r="I113" s="30"/>
      <c r="J113" s="46"/>
      <c r="K113" s="46"/>
      <c r="L113" s="30">
        <f t="shared" si="9"/>
        <v>147601.9</v>
      </c>
      <c r="M113" s="30">
        <v>83978.79</v>
      </c>
      <c r="N113" s="30">
        <f t="shared" si="11"/>
        <v>63623.11</v>
      </c>
      <c r="O113" s="40">
        <f t="shared" si="10"/>
        <v>3.3256182603704755E-2</v>
      </c>
    </row>
    <row r="114" spans="1:15" ht="15.95" customHeight="1" x14ac:dyDescent="0.2">
      <c r="A114" s="43" t="s">
        <v>148</v>
      </c>
      <c r="B114" s="31" t="s">
        <v>78</v>
      </c>
      <c r="C114" s="30">
        <v>2000</v>
      </c>
      <c r="D114" s="30"/>
      <c r="E114" s="30"/>
      <c r="F114" s="46">
        <v>3000</v>
      </c>
      <c r="G114" s="46"/>
      <c r="H114" s="30"/>
      <c r="I114" s="30"/>
      <c r="J114" s="46"/>
      <c r="K114" s="46"/>
      <c r="L114" s="30">
        <f t="shared" si="9"/>
        <v>5000</v>
      </c>
      <c r="M114" s="30">
        <v>0</v>
      </c>
      <c r="N114" s="30">
        <f t="shared" si="11"/>
        <v>5000</v>
      </c>
      <c r="O114" s="40">
        <f t="shared" si="10"/>
        <v>0</v>
      </c>
    </row>
    <row r="115" spans="1:15" ht="15.95" customHeight="1" x14ac:dyDescent="0.2">
      <c r="A115" s="43" t="s">
        <v>149</v>
      </c>
      <c r="B115" s="31" t="s">
        <v>217</v>
      </c>
      <c r="C115" s="30">
        <v>9500</v>
      </c>
      <c r="D115" s="30">
        <v>20000</v>
      </c>
      <c r="E115" s="30"/>
      <c r="F115" s="46">
        <v>5000</v>
      </c>
      <c r="G115" s="46"/>
      <c r="H115" s="30"/>
      <c r="I115" s="30"/>
      <c r="J115" s="46"/>
      <c r="K115" s="46"/>
      <c r="L115" s="30">
        <f t="shared" si="9"/>
        <v>34500</v>
      </c>
      <c r="M115" s="30">
        <v>286.99</v>
      </c>
      <c r="N115" s="30">
        <f t="shared" si="11"/>
        <v>34213.01</v>
      </c>
      <c r="O115" s="40">
        <f t="shared" si="10"/>
        <v>1.13650028125402E-4</v>
      </c>
    </row>
    <row r="116" spans="1:15" ht="15.95" customHeight="1" x14ac:dyDescent="0.2">
      <c r="A116" s="43" t="s">
        <v>150</v>
      </c>
      <c r="B116" s="31" t="s">
        <v>79</v>
      </c>
      <c r="C116" s="30">
        <v>101000</v>
      </c>
      <c r="D116" s="30"/>
      <c r="E116" s="30"/>
      <c r="F116" s="46">
        <v>358296.72</v>
      </c>
      <c r="G116" s="46"/>
      <c r="H116" s="30"/>
      <c r="I116" s="30">
        <v>136000</v>
      </c>
      <c r="J116" s="46"/>
      <c r="K116" s="46"/>
      <c r="L116" s="30">
        <f t="shared" si="9"/>
        <v>323296.71999999997</v>
      </c>
      <c r="M116" s="30">
        <v>5316.97</v>
      </c>
      <c r="N116" s="30">
        <f t="shared" si="11"/>
        <v>317979.75</v>
      </c>
      <c r="O116" s="40">
        <f t="shared" si="10"/>
        <v>2.1055569533500076E-3</v>
      </c>
    </row>
    <row r="117" spans="1:15" ht="15.95" customHeight="1" x14ac:dyDescent="0.2">
      <c r="A117" s="43" t="s">
        <v>151</v>
      </c>
      <c r="B117" s="31" t="s">
        <v>80</v>
      </c>
      <c r="C117" s="30">
        <v>11500</v>
      </c>
      <c r="D117" s="30"/>
      <c r="E117" s="30"/>
      <c r="F117" s="46">
        <v>25000</v>
      </c>
      <c r="G117" s="46"/>
      <c r="H117" s="30"/>
      <c r="I117" s="30"/>
      <c r="J117" s="46"/>
      <c r="K117" s="46"/>
      <c r="L117" s="30">
        <f t="shared" si="9"/>
        <v>36500</v>
      </c>
      <c r="M117" s="30">
        <v>5824.77</v>
      </c>
      <c r="N117" s="30">
        <f t="shared" si="11"/>
        <v>30675.23</v>
      </c>
      <c r="O117" s="40">
        <f t="shared" si="10"/>
        <v>2.3066492711383596E-3</v>
      </c>
    </row>
    <row r="118" spans="1:15" ht="15.95" customHeight="1" x14ac:dyDescent="0.2">
      <c r="A118" s="43"/>
      <c r="B118" s="31"/>
      <c r="C118" s="30"/>
      <c r="D118" s="30"/>
      <c r="E118" s="30"/>
      <c r="F118" s="46"/>
      <c r="G118" s="46"/>
      <c r="H118" s="30"/>
      <c r="I118" s="30"/>
      <c r="J118" s="46"/>
      <c r="K118" s="46"/>
      <c r="L118" s="30"/>
      <c r="M118" s="30"/>
      <c r="N118" s="30"/>
      <c r="O118" s="40"/>
    </row>
    <row r="119" spans="1:15" ht="15.95" customHeight="1" x14ac:dyDescent="0.2">
      <c r="A119" s="43"/>
      <c r="B119" s="31"/>
      <c r="C119" s="30"/>
      <c r="D119" s="30"/>
      <c r="E119" s="30"/>
      <c r="F119" s="46"/>
      <c r="G119" s="46"/>
      <c r="H119" s="30"/>
      <c r="I119" s="30"/>
      <c r="J119" s="46"/>
      <c r="K119" s="46"/>
      <c r="L119" s="30"/>
      <c r="M119" s="30"/>
      <c r="N119" s="30"/>
      <c r="O119" s="40"/>
    </row>
    <row r="120" spans="1:15" ht="15.95" customHeight="1" x14ac:dyDescent="0.2">
      <c r="A120" s="43"/>
      <c r="B120" s="31"/>
      <c r="C120" s="30"/>
      <c r="D120" s="30"/>
      <c r="E120" s="30"/>
      <c r="F120" s="46"/>
      <c r="G120" s="46"/>
      <c r="H120" s="30"/>
      <c r="I120" s="30"/>
      <c r="J120" s="46"/>
      <c r="K120" s="46"/>
      <c r="L120" s="30"/>
      <c r="M120" s="30"/>
      <c r="N120" s="30"/>
      <c r="O120" s="40"/>
    </row>
    <row r="121" spans="1:15" ht="15.95" customHeight="1" x14ac:dyDescent="0.25">
      <c r="A121" s="41">
        <v>3</v>
      </c>
      <c r="B121" s="42" t="s">
        <v>81</v>
      </c>
      <c r="C121" s="28"/>
      <c r="D121" s="30"/>
      <c r="E121" s="30"/>
      <c r="F121" s="46"/>
      <c r="G121" s="46"/>
      <c r="H121" s="30"/>
      <c r="I121" s="30"/>
      <c r="J121" s="46"/>
      <c r="K121" s="46"/>
      <c r="L121" s="30"/>
      <c r="M121" s="30"/>
      <c r="N121" s="30"/>
      <c r="O121" s="40"/>
    </row>
    <row r="122" spans="1:15" ht="15.95" customHeight="1" x14ac:dyDescent="0.2">
      <c r="A122" s="44" t="s">
        <v>218</v>
      </c>
      <c r="B122" s="45" t="s">
        <v>219</v>
      </c>
      <c r="C122" s="46">
        <v>10000</v>
      </c>
      <c r="D122" s="30"/>
      <c r="E122" s="30"/>
      <c r="F122" s="46">
        <f>20000+10000</f>
        <v>30000</v>
      </c>
      <c r="G122" s="46"/>
      <c r="H122" s="30"/>
      <c r="I122" s="30"/>
      <c r="J122" s="46"/>
      <c r="K122" s="46"/>
      <c r="L122" s="30">
        <f t="shared" ref="L122:L135" si="12">C122+D122-E122+F122-G122+J122-K122</f>
        <v>40000</v>
      </c>
      <c r="M122" s="30">
        <v>1299</v>
      </c>
      <c r="N122" s="30">
        <f t="shared" si="11"/>
        <v>38701</v>
      </c>
      <c r="O122" s="40">
        <f>M122/$M$136</f>
        <v>5.1441299883235375E-4</v>
      </c>
    </row>
    <row r="123" spans="1:15" ht="15.95" hidden="1" customHeight="1" x14ac:dyDescent="0.2">
      <c r="A123" s="44" t="s">
        <v>82</v>
      </c>
      <c r="B123" s="45" t="s">
        <v>220</v>
      </c>
      <c r="C123" s="46">
        <v>0</v>
      </c>
      <c r="D123" s="30"/>
      <c r="E123" s="30"/>
      <c r="F123" s="46"/>
      <c r="G123" s="46"/>
      <c r="H123" s="30"/>
      <c r="I123" s="30"/>
      <c r="J123" s="46"/>
      <c r="K123" s="46"/>
      <c r="L123" s="30">
        <f t="shared" si="12"/>
        <v>0</v>
      </c>
      <c r="M123" s="30">
        <v>0</v>
      </c>
      <c r="N123" s="30">
        <f t="shared" si="11"/>
        <v>0</v>
      </c>
      <c r="O123" s="40">
        <f>M123/$M$136</f>
        <v>0</v>
      </c>
    </row>
    <row r="124" spans="1:15" ht="15.95" customHeight="1" x14ac:dyDescent="0.2">
      <c r="A124" s="44" t="s">
        <v>221</v>
      </c>
      <c r="B124" s="45" t="s">
        <v>222</v>
      </c>
      <c r="C124" s="46">
        <v>54035</v>
      </c>
      <c r="D124" s="30"/>
      <c r="E124" s="30"/>
      <c r="F124" s="46">
        <v>120000</v>
      </c>
      <c r="G124" s="46"/>
      <c r="H124" s="30"/>
      <c r="I124" s="30"/>
      <c r="J124" s="46"/>
      <c r="K124" s="46"/>
      <c r="L124" s="30">
        <f t="shared" si="12"/>
        <v>174035</v>
      </c>
      <c r="M124" s="30">
        <f>35472.21</f>
        <v>35472.21</v>
      </c>
      <c r="N124" s="30">
        <f t="shared" si="11"/>
        <v>138562.79</v>
      </c>
      <c r="O124" s="40">
        <f>M124/$M$136</f>
        <v>1.4047240894003854E-2</v>
      </c>
    </row>
    <row r="125" spans="1:15" ht="15.95" customHeight="1" x14ac:dyDescent="0.2">
      <c r="A125" s="44" t="s">
        <v>223</v>
      </c>
      <c r="B125" s="45" t="s">
        <v>224</v>
      </c>
      <c r="C125" s="46">
        <v>1500</v>
      </c>
      <c r="D125" s="30"/>
      <c r="E125" s="30"/>
      <c r="F125" s="46"/>
      <c r="G125" s="46"/>
      <c r="H125" s="30"/>
      <c r="I125" s="30"/>
      <c r="J125" s="46"/>
      <c r="K125" s="46"/>
      <c r="L125" s="30">
        <f t="shared" si="12"/>
        <v>1500</v>
      </c>
      <c r="M125" s="30">
        <v>0</v>
      </c>
      <c r="N125" s="30">
        <f t="shared" si="11"/>
        <v>1500</v>
      </c>
      <c r="O125" s="40">
        <f>M125/$M$136</f>
        <v>0</v>
      </c>
    </row>
    <row r="126" spans="1:15" ht="15.95" customHeight="1" x14ac:dyDescent="0.2">
      <c r="A126" s="44">
        <v>328</v>
      </c>
      <c r="B126" s="45" t="s">
        <v>254</v>
      </c>
      <c r="C126" s="46">
        <v>0</v>
      </c>
      <c r="D126" s="30">
        <v>3000</v>
      </c>
      <c r="E126" s="30"/>
      <c r="F126" s="46"/>
      <c r="G126" s="46"/>
      <c r="H126" s="30"/>
      <c r="I126" s="30"/>
      <c r="J126" s="46"/>
      <c r="K126" s="46"/>
      <c r="L126" s="30">
        <f t="shared" si="12"/>
        <v>3000</v>
      </c>
      <c r="M126" s="30"/>
      <c r="N126" s="30">
        <f t="shared" si="11"/>
        <v>3000</v>
      </c>
      <c r="O126" s="40">
        <f>+M126/M136</f>
        <v>0</v>
      </c>
    </row>
    <row r="127" spans="1:15" ht="15.95" customHeight="1" x14ac:dyDescent="0.2">
      <c r="A127" s="44" t="s">
        <v>225</v>
      </c>
      <c r="B127" s="45" t="s">
        <v>226</v>
      </c>
      <c r="C127" s="46">
        <v>14300</v>
      </c>
      <c r="D127" s="30">
        <f>3000+16000</f>
        <v>19000</v>
      </c>
      <c r="E127" s="30"/>
      <c r="F127" s="46">
        <v>42000</v>
      </c>
      <c r="G127" s="46"/>
      <c r="H127" s="30"/>
      <c r="I127" s="30"/>
      <c r="J127" s="46"/>
      <c r="K127" s="46"/>
      <c r="L127" s="30">
        <f t="shared" si="12"/>
        <v>75300</v>
      </c>
      <c r="M127" s="30">
        <v>8536.8799999999992</v>
      </c>
      <c r="N127" s="30">
        <f t="shared" si="11"/>
        <v>66763.12</v>
      </c>
      <c r="O127" s="40">
        <f>M127/$M$136</f>
        <v>3.3806636193009576E-3</v>
      </c>
    </row>
    <row r="128" spans="1:15" ht="15.95" hidden="1" customHeight="1" x14ac:dyDescent="0.2">
      <c r="A128" s="44" t="s">
        <v>227</v>
      </c>
      <c r="B128" s="45" t="s">
        <v>228</v>
      </c>
      <c r="C128" s="46">
        <v>0</v>
      </c>
      <c r="D128" s="30"/>
      <c r="E128" s="30"/>
      <c r="F128" s="46"/>
      <c r="G128" s="46"/>
      <c r="H128" s="30"/>
      <c r="I128" s="30"/>
      <c r="J128" s="46"/>
      <c r="K128" s="46"/>
      <c r="L128" s="30">
        <f t="shared" si="12"/>
        <v>0</v>
      </c>
      <c r="M128" s="30">
        <v>0</v>
      </c>
      <c r="N128" s="30">
        <f t="shared" si="11"/>
        <v>0</v>
      </c>
      <c r="O128" s="40">
        <f>M128/$M$136</f>
        <v>0</v>
      </c>
    </row>
    <row r="129" spans="1:15" ht="15.95" customHeight="1" x14ac:dyDescent="0.2">
      <c r="A129" s="44"/>
      <c r="B129" s="45"/>
      <c r="C129" s="46"/>
      <c r="D129" s="30"/>
      <c r="E129" s="30"/>
      <c r="F129" s="46"/>
      <c r="G129" s="46"/>
      <c r="H129" s="30"/>
      <c r="I129" s="30"/>
      <c r="J129" s="46"/>
      <c r="K129" s="46"/>
      <c r="L129" s="30"/>
      <c r="M129" s="30"/>
      <c r="N129" s="30"/>
      <c r="O129" s="40"/>
    </row>
    <row r="130" spans="1:15" ht="15.95" customHeight="1" x14ac:dyDescent="0.2">
      <c r="A130" s="43"/>
      <c r="B130" s="31"/>
      <c r="C130" s="30"/>
      <c r="D130" s="30"/>
      <c r="E130" s="30"/>
      <c r="F130" s="46"/>
      <c r="G130" s="46"/>
      <c r="H130" s="30"/>
      <c r="I130" s="30"/>
      <c r="J130" s="46"/>
      <c r="K130" s="46"/>
      <c r="L130" s="30"/>
      <c r="M130" s="30"/>
      <c r="N130" s="30"/>
      <c r="O130" s="40"/>
    </row>
    <row r="131" spans="1:15" ht="15.95" customHeight="1" x14ac:dyDescent="0.25">
      <c r="A131" s="41">
        <v>4</v>
      </c>
      <c r="B131" s="42" t="s">
        <v>83</v>
      </c>
      <c r="C131" s="28"/>
      <c r="D131" s="30"/>
      <c r="E131" s="30"/>
      <c r="F131" s="46"/>
      <c r="G131" s="46"/>
      <c r="H131" s="30"/>
      <c r="I131" s="30"/>
      <c r="J131" s="46"/>
      <c r="K131" s="46"/>
      <c r="L131" s="30"/>
      <c r="M131" s="30"/>
      <c r="N131" s="30"/>
      <c r="O131" s="40"/>
    </row>
    <row r="132" spans="1:15" ht="15.95" customHeight="1" x14ac:dyDescent="0.2">
      <c r="A132" s="43" t="s">
        <v>229</v>
      </c>
      <c r="B132" s="31" t="s">
        <v>84</v>
      </c>
      <c r="C132" s="30">
        <v>140900</v>
      </c>
      <c r="D132" s="30"/>
      <c r="E132" s="30"/>
      <c r="F132" s="46">
        <v>180620.2</v>
      </c>
      <c r="G132" s="46"/>
      <c r="H132" s="30"/>
      <c r="I132" s="30"/>
      <c r="J132" s="46"/>
      <c r="K132" s="46"/>
      <c r="L132" s="30">
        <f t="shared" si="12"/>
        <v>321520.2</v>
      </c>
      <c r="M132" s="30">
        <v>121719.78</v>
      </c>
      <c r="N132" s="30">
        <f t="shared" si="11"/>
        <v>199800.42</v>
      </c>
      <c r="O132" s="40">
        <f>M132/$M$136</f>
        <v>4.8201876094699274E-2</v>
      </c>
    </row>
    <row r="133" spans="1:15" ht="15.95" customHeight="1" x14ac:dyDescent="0.2">
      <c r="A133" s="43" t="s">
        <v>230</v>
      </c>
      <c r="B133" s="31" t="s">
        <v>231</v>
      </c>
      <c r="C133" s="30">
        <v>7170</v>
      </c>
      <c r="D133" s="30"/>
      <c r="E133" s="30"/>
      <c r="F133" s="30"/>
      <c r="G133" s="30"/>
      <c r="H133" s="30"/>
      <c r="I133" s="30"/>
      <c r="J133" s="46"/>
      <c r="K133" s="46"/>
      <c r="L133" s="30">
        <f t="shared" si="12"/>
        <v>7170</v>
      </c>
      <c r="M133" s="30">
        <v>3718.87</v>
      </c>
      <c r="N133" s="30">
        <f t="shared" si="11"/>
        <v>3451.13</v>
      </c>
      <c r="O133" s="40">
        <f>M133/$M$136</f>
        <v>1.472698282500135E-3</v>
      </c>
    </row>
    <row r="134" spans="1:15" ht="15.95" customHeight="1" x14ac:dyDescent="0.2">
      <c r="A134" s="43" t="s">
        <v>232</v>
      </c>
      <c r="B134" s="31" t="s">
        <v>233</v>
      </c>
      <c r="C134" s="30">
        <v>163700</v>
      </c>
      <c r="D134" s="30"/>
      <c r="E134" s="30"/>
      <c r="F134" s="30"/>
      <c r="G134" s="30"/>
      <c r="H134" s="30"/>
      <c r="I134" s="30"/>
      <c r="J134" s="46"/>
      <c r="K134" s="46"/>
      <c r="L134" s="30">
        <f t="shared" si="12"/>
        <v>163700</v>
      </c>
      <c r="M134" s="30">
        <v>118413</v>
      </c>
      <c r="N134" s="30">
        <f t="shared" si="11"/>
        <v>45287</v>
      </c>
      <c r="O134" s="40">
        <f>M134/$M$136</f>
        <v>4.6892368306955742E-2</v>
      </c>
    </row>
    <row r="135" spans="1:15" ht="15.95" customHeight="1" thickBot="1" x14ac:dyDescent="0.25">
      <c r="A135" s="43" t="s">
        <v>234</v>
      </c>
      <c r="B135" s="31" t="s">
        <v>235</v>
      </c>
      <c r="C135" s="30">
        <v>8750</v>
      </c>
      <c r="D135" s="30"/>
      <c r="E135" s="30"/>
      <c r="F135" s="30"/>
      <c r="G135" s="30"/>
      <c r="H135" s="30"/>
      <c r="I135" s="30"/>
      <c r="J135" s="46"/>
      <c r="K135" s="46"/>
      <c r="L135" s="30">
        <f t="shared" si="12"/>
        <v>8750</v>
      </c>
      <c r="M135" s="30">
        <v>1924.74</v>
      </c>
      <c r="N135" s="30">
        <f t="shared" si="11"/>
        <v>6825.26</v>
      </c>
      <c r="O135" s="40">
        <f>M135/$M$136</f>
        <v>7.6221037365095039E-4</v>
      </c>
    </row>
    <row r="136" spans="1:15" ht="18" customHeight="1" thickBot="1" x14ac:dyDescent="0.3">
      <c r="A136" s="34"/>
      <c r="B136" s="35" t="s">
        <v>94</v>
      </c>
      <c r="C136" s="36">
        <f t="shared" ref="C136:N136" si="13">SUM(C31:C135)</f>
        <v>6416776.6099999994</v>
      </c>
      <c r="D136" s="36">
        <f t="shared" si="13"/>
        <v>129000</v>
      </c>
      <c r="E136" s="36">
        <f t="shared" si="13"/>
        <v>129000</v>
      </c>
      <c r="F136" s="36">
        <f t="shared" si="13"/>
        <v>1468277.92</v>
      </c>
      <c r="G136" s="36">
        <f t="shared" si="13"/>
        <v>1468277.92</v>
      </c>
      <c r="H136" s="36">
        <f t="shared" si="13"/>
        <v>136000</v>
      </c>
      <c r="I136" s="36">
        <f t="shared" si="13"/>
        <v>136000</v>
      </c>
      <c r="J136" s="71">
        <f t="shared" si="13"/>
        <v>0</v>
      </c>
      <c r="K136" s="71">
        <f t="shared" si="13"/>
        <v>0</v>
      </c>
      <c r="L136" s="36">
        <f t="shared" si="13"/>
        <v>6416776.6100000003</v>
      </c>
      <c r="M136" s="36">
        <f t="shared" si="13"/>
        <v>2525208.35</v>
      </c>
      <c r="N136" s="36">
        <f t="shared" si="13"/>
        <v>3891568.26</v>
      </c>
      <c r="O136" s="47">
        <v>1</v>
      </c>
    </row>
    <row r="137" spans="1:15" x14ac:dyDescent="0.2">
      <c r="A137" s="48"/>
      <c r="B137" s="85"/>
      <c r="C137" s="88"/>
      <c r="D137" s="86"/>
      <c r="E137" s="49"/>
      <c r="F137" s="49"/>
      <c r="G137" s="49"/>
      <c r="H137" s="49"/>
      <c r="I137" s="49"/>
      <c r="J137" s="72"/>
      <c r="K137" s="72"/>
      <c r="L137" s="49"/>
      <c r="M137" s="49"/>
      <c r="N137" s="49"/>
    </row>
    <row r="138" spans="1:15" ht="15.75" thickBot="1" x14ac:dyDescent="0.25">
      <c r="B138" s="87"/>
      <c r="C138" s="87"/>
      <c r="D138" s="87"/>
      <c r="E138" s="12"/>
      <c r="F138" s="4"/>
      <c r="L138" s="15"/>
      <c r="M138" s="4">
        <f>+SEPTIEMBRE!M136+'[1]EGR OCTUBRE'!$N$134</f>
        <v>2525208.35</v>
      </c>
    </row>
    <row r="139" spans="1:15" ht="15.75" x14ac:dyDescent="0.25">
      <c r="A139" s="1" t="s">
        <v>85</v>
      </c>
      <c r="B139" s="2"/>
      <c r="C139" s="3"/>
      <c r="D139" s="4"/>
      <c r="E139" s="4"/>
      <c r="F139" s="4"/>
      <c r="G139" s="4"/>
      <c r="H139" s="4"/>
      <c r="I139" s="4"/>
      <c r="J139" s="73"/>
      <c r="K139" s="73"/>
      <c r="L139" s="4"/>
      <c r="M139" s="4"/>
    </row>
    <row r="140" spans="1:15" ht="15.75" x14ac:dyDescent="0.25">
      <c r="A140" s="5" t="s">
        <v>2</v>
      </c>
      <c r="B140" s="6"/>
      <c r="C140" s="7"/>
      <c r="D140" s="4"/>
      <c r="E140" s="4"/>
      <c r="F140" s="4"/>
      <c r="G140" s="4"/>
      <c r="H140" s="4"/>
      <c r="I140" s="4"/>
      <c r="J140" s="73"/>
      <c r="K140" s="73"/>
      <c r="L140" s="4"/>
      <c r="M140" s="4"/>
    </row>
    <row r="141" spans="1:15" ht="5.0999999999999996" customHeight="1" thickBot="1" x14ac:dyDescent="0.25">
      <c r="A141" s="8"/>
      <c r="B141" s="9"/>
      <c r="C141" s="10"/>
      <c r="D141" s="4"/>
      <c r="E141" s="4"/>
      <c r="F141" s="4"/>
      <c r="G141" s="4"/>
      <c r="H141" s="4"/>
      <c r="I141" s="4"/>
      <c r="J141" s="73"/>
      <c r="K141" s="73"/>
      <c r="L141" s="4"/>
      <c r="M141" s="4"/>
    </row>
    <row r="142" spans="1:15" ht="6.95" customHeight="1" x14ac:dyDescent="0.2">
      <c r="A142" s="51"/>
      <c r="B142" s="52"/>
      <c r="C142" s="53"/>
      <c r="D142" s="4"/>
      <c r="E142" s="4"/>
      <c r="F142" s="4"/>
      <c r="G142" s="4"/>
      <c r="H142" s="4"/>
      <c r="I142" s="4"/>
      <c r="J142" s="73"/>
      <c r="K142" s="73"/>
      <c r="L142" s="4"/>
      <c r="M142" s="4"/>
    </row>
    <row r="143" spans="1:15" x14ac:dyDescent="0.2">
      <c r="A143" s="54" t="s">
        <v>86</v>
      </c>
      <c r="B143" s="55"/>
      <c r="C143" s="56"/>
      <c r="D143" s="4"/>
      <c r="E143" s="4"/>
      <c r="F143" s="4"/>
      <c r="G143" s="4"/>
      <c r="H143" s="4"/>
      <c r="I143" s="4"/>
      <c r="J143" s="73"/>
      <c r="K143" s="73"/>
      <c r="L143" s="4"/>
    </row>
    <row r="144" spans="1:15" x14ac:dyDescent="0.2">
      <c r="A144" s="57" t="s">
        <v>236</v>
      </c>
      <c r="B144" s="55"/>
      <c r="C144" s="76">
        <f>260706.83+1025276.81</f>
        <v>1285983.6400000001</v>
      </c>
      <c r="D144" s="49"/>
      <c r="E144" s="4"/>
      <c r="F144" s="4"/>
      <c r="G144" s="4"/>
      <c r="H144" s="4"/>
      <c r="I144" s="4"/>
      <c r="J144" s="73"/>
      <c r="K144" s="73"/>
      <c r="L144" s="4"/>
    </row>
    <row r="145" spans="1:12" x14ac:dyDescent="0.2">
      <c r="A145" s="57" t="s">
        <v>256</v>
      </c>
      <c r="B145" s="55"/>
      <c r="C145" s="76">
        <f>50710.94-4603.19-39.95</f>
        <v>46067.8</v>
      </c>
      <c r="D145" s="49"/>
      <c r="E145" s="4"/>
      <c r="F145" s="4"/>
      <c r="G145" s="4"/>
      <c r="H145" s="4"/>
      <c r="I145" s="4"/>
      <c r="J145" s="73"/>
      <c r="K145" s="73"/>
      <c r="L145" s="4"/>
    </row>
    <row r="146" spans="1:12" x14ac:dyDescent="0.2">
      <c r="A146" s="97" t="s">
        <v>267</v>
      </c>
      <c r="B146" s="55"/>
      <c r="C146" s="76">
        <v>-23005.8</v>
      </c>
      <c r="D146" s="49"/>
      <c r="E146" s="4"/>
      <c r="F146" s="4"/>
      <c r="G146" s="4"/>
      <c r="H146" s="4"/>
      <c r="I146" s="4"/>
      <c r="J146" s="73"/>
      <c r="K146" s="73"/>
      <c r="L146" s="4"/>
    </row>
    <row r="147" spans="1:12" x14ac:dyDescent="0.2">
      <c r="A147" s="97" t="s">
        <v>277</v>
      </c>
      <c r="B147" s="55"/>
      <c r="C147" s="76">
        <f>-22081.94-37993.66</f>
        <v>-60075.600000000006</v>
      </c>
      <c r="D147" s="49"/>
      <c r="E147" s="4"/>
      <c r="F147" s="4"/>
      <c r="G147" s="4"/>
      <c r="H147" s="4"/>
      <c r="I147" s="4"/>
      <c r="J147" s="73"/>
      <c r="K147" s="73"/>
      <c r="L147" s="4"/>
    </row>
    <row r="148" spans="1:12" x14ac:dyDescent="0.2">
      <c r="A148" s="57" t="s">
        <v>87</v>
      </c>
      <c r="B148" s="55"/>
      <c r="C148" s="76">
        <f>M26</f>
        <v>3154864.18</v>
      </c>
      <c r="D148" s="4"/>
      <c r="E148" s="4"/>
      <c r="F148" s="4"/>
      <c r="G148" s="4"/>
      <c r="H148" s="4"/>
      <c r="I148" s="4"/>
      <c r="J148" s="73"/>
      <c r="K148" s="73"/>
      <c r="L148" s="4"/>
    </row>
    <row r="149" spans="1:12" x14ac:dyDescent="0.2">
      <c r="A149" s="97" t="s">
        <v>280</v>
      </c>
      <c r="B149" s="55"/>
      <c r="C149" s="76">
        <v>-20787.37</v>
      </c>
      <c r="D149" s="4"/>
      <c r="E149" s="4"/>
      <c r="F149" s="4"/>
      <c r="G149" s="4"/>
      <c r="H149" s="4"/>
      <c r="I149" s="4"/>
      <c r="J149" s="73"/>
      <c r="K149" s="73"/>
      <c r="L149" s="4"/>
    </row>
    <row r="150" spans="1:12" x14ac:dyDescent="0.2">
      <c r="A150" s="57" t="s">
        <v>88</v>
      </c>
      <c r="B150" s="55"/>
      <c r="C150" s="77">
        <f>-M136-39.95</f>
        <v>-2525248.3000000003</v>
      </c>
      <c r="D150" s="4"/>
      <c r="E150" s="4"/>
      <c r="F150" s="4"/>
      <c r="G150" s="4"/>
      <c r="H150" s="4"/>
      <c r="I150" s="4"/>
      <c r="J150" s="73"/>
      <c r="K150" s="73"/>
      <c r="L150" s="4"/>
    </row>
    <row r="151" spans="1:12" ht="15.75" x14ac:dyDescent="0.25">
      <c r="A151" s="58" t="s">
        <v>89</v>
      </c>
      <c r="B151" s="59"/>
      <c r="C151" s="78">
        <f>SUM(C144:C150)</f>
        <v>1857798.5500000003</v>
      </c>
      <c r="D151" s="4"/>
      <c r="E151" s="4"/>
      <c r="F151" s="4"/>
      <c r="G151" s="4"/>
      <c r="H151" s="4"/>
      <c r="I151" s="4"/>
      <c r="J151" s="73"/>
      <c r="K151" s="73"/>
      <c r="L151" s="4"/>
    </row>
    <row r="152" spans="1:12" ht="5.0999999999999996" customHeight="1" x14ac:dyDescent="0.25">
      <c r="A152" s="58"/>
      <c r="B152" s="59"/>
      <c r="C152" s="78"/>
      <c r="D152" s="4"/>
      <c r="E152" s="4"/>
      <c r="F152" s="4"/>
      <c r="G152" s="4"/>
      <c r="H152" s="4"/>
      <c r="I152" s="4"/>
      <c r="J152" s="73"/>
      <c r="K152" s="73"/>
      <c r="L152" s="4"/>
    </row>
    <row r="153" spans="1:12" x14ac:dyDescent="0.2">
      <c r="A153" s="54" t="s">
        <v>90</v>
      </c>
      <c r="B153" s="55"/>
      <c r="C153" s="76"/>
      <c r="D153" s="90"/>
      <c r="E153" s="91"/>
      <c r="F153" s="4"/>
      <c r="G153" s="4"/>
      <c r="H153" s="4"/>
      <c r="I153" s="4"/>
      <c r="J153" s="73"/>
      <c r="K153" s="73"/>
      <c r="L153" s="4"/>
    </row>
    <row r="154" spans="1:12" x14ac:dyDescent="0.2">
      <c r="A154" s="57" t="s">
        <v>152</v>
      </c>
      <c r="B154" s="55"/>
      <c r="C154" s="76">
        <v>272</v>
      </c>
      <c r="D154" s="92"/>
      <c r="E154" s="91"/>
      <c r="F154" s="4"/>
      <c r="G154" s="4"/>
      <c r="H154" s="4"/>
      <c r="I154" s="4"/>
      <c r="J154" s="73"/>
      <c r="K154" s="73"/>
      <c r="L154" s="4"/>
    </row>
    <row r="155" spans="1:12" x14ac:dyDescent="0.2">
      <c r="A155" s="57" t="s">
        <v>156</v>
      </c>
      <c r="B155" s="55"/>
      <c r="C155" s="76">
        <v>10274.74</v>
      </c>
      <c r="D155" s="92"/>
      <c r="E155" s="91"/>
      <c r="F155" s="4"/>
      <c r="G155" s="4"/>
      <c r="H155" s="4"/>
      <c r="I155" s="4"/>
      <c r="J155" s="73"/>
      <c r="K155" s="73"/>
      <c r="L155" s="4"/>
    </row>
    <row r="156" spans="1:12" x14ac:dyDescent="0.2">
      <c r="A156" s="57" t="s">
        <v>154</v>
      </c>
      <c r="B156" s="55"/>
      <c r="C156" s="76">
        <v>1665.2</v>
      </c>
      <c r="D156" s="92"/>
      <c r="E156" s="91"/>
      <c r="F156" s="4"/>
      <c r="G156" s="4"/>
      <c r="H156" s="4"/>
      <c r="I156" s="4"/>
      <c r="J156" s="73"/>
      <c r="K156" s="73"/>
      <c r="L156" s="4"/>
    </row>
    <row r="157" spans="1:12" x14ac:dyDescent="0.2">
      <c r="A157" s="57" t="s">
        <v>153</v>
      </c>
      <c r="B157" s="55"/>
      <c r="C157" s="76">
        <v>1053.68</v>
      </c>
      <c r="D157" s="93"/>
      <c r="E157" s="94"/>
      <c r="F157" s="4"/>
      <c r="G157" s="4"/>
      <c r="H157" s="4"/>
      <c r="I157" s="4"/>
      <c r="J157" s="73"/>
      <c r="K157" s="73"/>
      <c r="L157" s="4"/>
    </row>
    <row r="158" spans="1:12" x14ac:dyDescent="0.2">
      <c r="A158" s="57" t="s">
        <v>253</v>
      </c>
      <c r="B158" s="55"/>
      <c r="C158" s="76">
        <f>990.15+990.15+990.15+990.15+990.15+990.15+990.15+990.15</f>
        <v>7921.1999999999989</v>
      </c>
      <c r="D158" s="93"/>
      <c r="E158" s="94"/>
      <c r="F158" s="4"/>
      <c r="G158" s="4"/>
      <c r="H158" s="4"/>
      <c r="I158" s="4"/>
      <c r="J158" s="73"/>
      <c r="K158" s="73"/>
      <c r="L158" s="4"/>
    </row>
    <row r="159" spans="1:12" ht="2.1" customHeight="1" x14ac:dyDescent="0.2">
      <c r="A159" s="57"/>
      <c r="B159" s="55"/>
      <c r="C159" s="77"/>
      <c r="D159" s="92"/>
      <c r="E159" s="91"/>
      <c r="F159" s="4"/>
      <c r="G159" s="4"/>
      <c r="H159" s="4"/>
      <c r="I159" s="4"/>
      <c r="J159" s="73"/>
      <c r="K159" s="73"/>
      <c r="L159" s="4"/>
    </row>
    <row r="160" spans="1:12" ht="15.75" x14ac:dyDescent="0.25">
      <c r="A160" s="58"/>
      <c r="B160" s="59"/>
      <c r="C160" s="78">
        <f>SUM(C154:C159)</f>
        <v>21186.82</v>
      </c>
      <c r="D160" s="92"/>
      <c r="E160" s="91"/>
      <c r="F160" s="4"/>
      <c r="G160" s="4"/>
      <c r="H160" s="4"/>
      <c r="I160" s="4"/>
      <c r="J160" s="73"/>
      <c r="K160" s="73"/>
      <c r="L160" s="4"/>
    </row>
    <row r="161" spans="1:13" ht="2.1" customHeight="1" x14ac:dyDescent="0.25">
      <c r="A161" s="58"/>
      <c r="B161" s="59"/>
      <c r="C161" s="79"/>
      <c r="D161" s="90"/>
      <c r="E161" s="91"/>
      <c r="F161" s="4"/>
      <c r="G161" s="4"/>
      <c r="H161" s="4"/>
      <c r="I161" s="4"/>
      <c r="J161" s="73"/>
      <c r="K161" s="73"/>
      <c r="L161" s="4"/>
    </row>
    <row r="162" spans="1:13" ht="9.9499999999999993" customHeight="1" x14ac:dyDescent="0.2">
      <c r="A162" s="57"/>
      <c r="B162" s="55"/>
      <c r="C162" s="76"/>
      <c r="D162" s="90"/>
      <c r="E162" s="91"/>
      <c r="F162" s="4"/>
      <c r="G162" s="4"/>
      <c r="H162" s="4"/>
      <c r="I162" s="4"/>
      <c r="J162" s="73"/>
      <c r="K162" s="73"/>
      <c r="L162" s="4"/>
    </row>
    <row r="163" spans="1:13" ht="16.5" thickBot="1" x14ac:dyDescent="0.3">
      <c r="A163" s="60" t="s">
        <v>279</v>
      </c>
      <c r="B163" s="61"/>
      <c r="C163" s="75">
        <f>C151+C160</f>
        <v>1878985.3700000003</v>
      </c>
      <c r="D163" s="90"/>
      <c r="E163" s="91"/>
      <c r="F163" s="4"/>
      <c r="G163" s="4"/>
      <c r="H163" s="4"/>
      <c r="I163" s="4"/>
      <c r="J163" s="73"/>
      <c r="K163" s="73"/>
      <c r="L163" s="4"/>
      <c r="M163" s="4"/>
    </row>
    <row r="164" spans="1:13" x14ac:dyDescent="0.2">
      <c r="A164" s="62"/>
      <c r="B164" s="62"/>
      <c r="C164" s="63"/>
      <c r="D164" s="4"/>
      <c r="E164" s="4"/>
      <c r="F164" s="4"/>
      <c r="G164" s="4"/>
      <c r="H164" s="4"/>
      <c r="I164" s="4"/>
      <c r="J164" s="73"/>
      <c r="K164" s="73"/>
      <c r="L164" s="4"/>
    </row>
    <row r="165" spans="1:13" x14ac:dyDescent="0.2">
      <c r="C165" s="63"/>
      <c r="D165" s="4"/>
    </row>
    <row r="166" spans="1:13" x14ac:dyDescent="0.2">
      <c r="C166" s="14"/>
      <c r="D166" s="4"/>
    </row>
    <row r="167" spans="1:13" x14ac:dyDescent="0.2">
      <c r="C167" s="14"/>
      <c r="D167" s="4"/>
    </row>
    <row r="168" spans="1:13" x14ac:dyDescent="0.2">
      <c r="C168" s="15"/>
      <c r="D168" s="4"/>
      <c r="I168" s="4"/>
      <c r="K168" s="73"/>
      <c r="L168" s="4"/>
    </row>
    <row r="169" spans="1:13" x14ac:dyDescent="0.2">
      <c r="C169" s="15"/>
      <c r="D169" s="4"/>
    </row>
    <row r="170" spans="1:13" x14ac:dyDescent="0.2">
      <c r="C170" s="15"/>
      <c r="D170" s="4"/>
    </row>
    <row r="171" spans="1:13" x14ac:dyDescent="0.2">
      <c r="C171" s="15"/>
      <c r="D171" s="4"/>
    </row>
    <row r="172" spans="1:13" x14ac:dyDescent="0.2">
      <c r="C172" s="15"/>
      <c r="D172" s="4"/>
    </row>
    <row r="173" spans="1:13" x14ac:dyDescent="0.2">
      <c r="D173" s="4"/>
    </row>
    <row r="174" spans="1:13" x14ac:dyDescent="0.2">
      <c r="D174" s="4"/>
    </row>
    <row r="175" spans="1:13" x14ac:dyDescent="0.2">
      <c r="B175" s="11" t="s">
        <v>281</v>
      </c>
      <c r="D175" s="13" t="s">
        <v>240</v>
      </c>
      <c r="I175" s="13"/>
      <c r="K175" s="83"/>
      <c r="M175" s="11" t="s">
        <v>269</v>
      </c>
    </row>
    <row r="176" spans="1:13" x14ac:dyDescent="0.2">
      <c r="B176" s="11" t="s">
        <v>91</v>
      </c>
      <c r="D176" s="13" t="s">
        <v>92</v>
      </c>
      <c r="M176" s="11" t="s">
        <v>270</v>
      </c>
    </row>
    <row r="180" spans="7:12" x14ac:dyDescent="0.2">
      <c r="I180" s="4"/>
      <c r="K180" s="73"/>
      <c r="L180" s="4"/>
    </row>
    <row r="181" spans="7:12" x14ac:dyDescent="0.2">
      <c r="I181" s="4"/>
      <c r="K181" s="73"/>
      <c r="L181" s="4"/>
    </row>
    <row r="182" spans="7:12" x14ac:dyDescent="0.2">
      <c r="G182" s="64"/>
      <c r="I182" s="64"/>
      <c r="K182" s="74"/>
      <c r="L182" s="4"/>
    </row>
    <row r="183" spans="7:12" x14ac:dyDescent="0.2">
      <c r="G183" s="64"/>
      <c r="I183" s="64"/>
      <c r="K183" s="74"/>
      <c r="L183" s="4"/>
    </row>
    <row r="184" spans="7:12" x14ac:dyDescent="0.2">
      <c r="G184" s="64"/>
      <c r="L184" s="4"/>
    </row>
    <row r="185" spans="7:12" x14ac:dyDescent="0.2">
      <c r="G185" s="64"/>
    </row>
    <row r="186" spans="7:12" x14ac:dyDescent="0.2">
      <c r="G186" s="64"/>
    </row>
    <row r="187" spans="7:12" x14ac:dyDescent="0.2">
      <c r="G187" s="64"/>
      <c r="L187" s="4"/>
    </row>
    <row r="188" spans="7:12" x14ac:dyDescent="0.2">
      <c r="G188" s="64"/>
    </row>
    <row r="189" spans="7:12" x14ac:dyDescent="0.2">
      <c r="G189" s="64"/>
    </row>
    <row r="190" spans="7:12" x14ac:dyDescent="0.2">
      <c r="G190" s="64"/>
    </row>
    <row r="191" spans="7:12" x14ac:dyDescent="0.2">
      <c r="G191" s="64"/>
    </row>
    <row r="192" spans="7:12" x14ac:dyDescent="0.2">
      <c r="G192" s="64"/>
    </row>
    <row r="193" spans="7:7" x14ac:dyDescent="0.2">
      <c r="G193" s="64"/>
    </row>
    <row r="194" spans="7:7" x14ac:dyDescent="0.2">
      <c r="G194" s="64"/>
    </row>
    <row r="195" spans="7:7" x14ac:dyDescent="0.2">
      <c r="G195" s="64"/>
    </row>
    <row r="196" spans="7:7" x14ac:dyDescent="0.2">
      <c r="G196" s="64"/>
    </row>
    <row r="197" spans="7:7" x14ac:dyDescent="0.2">
      <c r="G197" s="64"/>
    </row>
    <row r="198" spans="7:7" x14ac:dyDescent="0.2">
      <c r="G198" s="64"/>
    </row>
    <row r="199" spans="7:7" x14ac:dyDescent="0.2">
      <c r="G199" s="64"/>
    </row>
  </sheetData>
  <mergeCells count="2">
    <mergeCell ref="B6:B7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53" max="14" man="1"/>
    <brk id="117" max="16383" man="1"/>
  </rowBreaks>
  <ignoredErrors>
    <ignoredError sqref="O12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9"/>
  <sheetViews>
    <sheetView zoomScaleNormal="100" workbookViewId="0">
      <selection activeCell="M137" sqref="M137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9" width="16.42578125" style="11" customWidth="1"/>
    <col min="10" max="11" width="13.42578125" style="62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5"/>
      <c r="K1" s="65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5"/>
      <c r="K2" s="65"/>
      <c r="L2" s="16"/>
      <c r="M2" s="16"/>
      <c r="N2" s="16"/>
      <c r="O2" s="17"/>
    </row>
    <row r="3" spans="1:15" ht="15.75" x14ac:dyDescent="0.25">
      <c r="A3" s="16" t="s">
        <v>283</v>
      </c>
      <c r="B3" s="16"/>
      <c r="C3" s="16"/>
      <c r="D3" s="16"/>
      <c r="E3" s="16"/>
      <c r="F3" s="16"/>
      <c r="G3" s="16"/>
      <c r="H3" s="16"/>
      <c r="I3" s="16"/>
      <c r="J3" s="65"/>
      <c r="K3" s="65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5"/>
      <c r="K4" s="65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6"/>
      <c r="K5" s="66"/>
      <c r="L5" s="17"/>
      <c r="M5" s="17"/>
      <c r="N5" s="17"/>
      <c r="O5" s="17"/>
    </row>
    <row r="6" spans="1:15" ht="16.5" thickBot="1" x14ac:dyDescent="0.3">
      <c r="A6" s="18" t="s">
        <v>3</v>
      </c>
      <c r="B6" s="100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02" t="s">
        <v>18</v>
      </c>
      <c r="I6" s="103"/>
      <c r="J6" s="104" t="s">
        <v>282</v>
      </c>
      <c r="K6" s="105"/>
      <c r="L6" s="18" t="s">
        <v>5</v>
      </c>
      <c r="M6" s="100" t="s">
        <v>8</v>
      </c>
      <c r="N6" s="18" t="s">
        <v>9</v>
      </c>
      <c r="O6" s="18" t="s">
        <v>10</v>
      </c>
    </row>
    <row r="7" spans="1:15" ht="16.5" thickBot="1" x14ac:dyDescent="0.3">
      <c r="A7" s="21" t="s">
        <v>11</v>
      </c>
      <c r="B7" s="101"/>
      <c r="C7" s="21" t="s">
        <v>12</v>
      </c>
      <c r="D7" s="22" t="s">
        <v>13</v>
      </c>
      <c r="E7" s="22" t="s">
        <v>14</v>
      </c>
      <c r="F7" s="22" t="s">
        <v>13</v>
      </c>
      <c r="G7" s="22" t="s">
        <v>14</v>
      </c>
      <c r="H7" s="22" t="s">
        <v>13</v>
      </c>
      <c r="I7" s="23" t="s">
        <v>14</v>
      </c>
      <c r="J7" s="68" t="s">
        <v>13</v>
      </c>
      <c r="K7" s="81" t="s">
        <v>14</v>
      </c>
      <c r="L7" s="21" t="s">
        <v>15</v>
      </c>
      <c r="M7" s="101"/>
      <c r="N7" s="21" t="s">
        <v>16</v>
      </c>
      <c r="O7" s="21" t="s">
        <v>17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9"/>
      <c r="K8" s="69"/>
      <c r="L8" s="25"/>
      <c r="M8" s="25"/>
      <c r="N8" s="25"/>
      <c r="O8" s="26"/>
    </row>
    <row r="9" spans="1:15" ht="15.95" customHeight="1" x14ac:dyDescent="0.25">
      <c r="A9" s="27"/>
      <c r="B9" s="27" t="s">
        <v>187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19</v>
      </c>
      <c r="B10" s="31" t="s">
        <v>188</v>
      </c>
      <c r="C10" s="30">
        <v>33000</v>
      </c>
      <c r="D10" s="30"/>
      <c r="E10" s="30"/>
      <c r="F10" s="30"/>
      <c r="G10" s="30">
        <v>6700</v>
      </c>
      <c r="H10" s="30"/>
      <c r="I10" s="30"/>
      <c r="J10" s="46"/>
      <c r="K10" s="46"/>
      <c r="L10" s="30">
        <f t="shared" ref="L10:L22" si="0">C10+D10-E10+F10-G10+J10-K10</f>
        <v>26300</v>
      </c>
      <c r="M10" s="30">
        <f>13600+7600+600+400+600+600+201+400</f>
        <v>24001</v>
      </c>
      <c r="N10" s="30">
        <f t="shared" ref="N10:N22" si="1">L10-M10</f>
        <v>2299</v>
      </c>
      <c r="O10" s="29">
        <f>M10/$M$26</f>
        <v>6.6863046209011965E-3</v>
      </c>
    </row>
    <row r="11" spans="1:15" ht="15.95" hidden="1" customHeight="1" x14ac:dyDescent="0.25">
      <c r="A11" s="31" t="s">
        <v>29</v>
      </c>
      <c r="B11" s="31" t="s">
        <v>30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si="0"/>
        <v>0</v>
      </c>
      <c r="M11" s="30">
        <v>0</v>
      </c>
      <c r="N11" s="30">
        <v>0</v>
      </c>
      <c r="O11" s="29"/>
    </row>
    <row r="12" spans="1:15" ht="15.95" customHeight="1" x14ac:dyDescent="0.25">
      <c r="A12" s="31" t="s">
        <v>20</v>
      </c>
      <c r="B12" s="31" t="s">
        <v>189</v>
      </c>
      <c r="C12" s="30">
        <v>25000</v>
      </c>
      <c r="D12" s="30"/>
      <c r="E12" s="30"/>
      <c r="F12" s="30"/>
      <c r="G12" s="30"/>
      <c r="H12" s="30"/>
      <c r="I12" s="30"/>
      <c r="J12" s="46"/>
      <c r="K12" s="46"/>
      <c r="L12" s="30">
        <f t="shared" si="0"/>
        <v>25000</v>
      </c>
      <c r="M12" s="30">
        <f>400.4+1360+750+50</f>
        <v>2560.4</v>
      </c>
      <c r="N12" s="30">
        <f t="shared" si="1"/>
        <v>22439.599999999999</v>
      </c>
      <c r="O12" s="29">
        <f>M12/$M$26</f>
        <v>7.1328754432546247E-4</v>
      </c>
    </row>
    <row r="13" spans="1:15" ht="15.95" customHeight="1" x14ac:dyDescent="0.25">
      <c r="A13" s="31" t="s">
        <v>21</v>
      </c>
      <c r="B13" s="31" t="s">
        <v>190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0"/>
        <v>3500</v>
      </c>
      <c r="M13" s="30">
        <v>3500</v>
      </c>
      <c r="N13" s="30">
        <f t="shared" si="1"/>
        <v>0</v>
      </c>
      <c r="O13" s="29">
        <f>M13/$M$26</f>
        <v>9.7504546365377218E-4</v>
      </c>
    </row>
    <row r="14" spans="1:15" ht="15.95" customHeight="1" x14ac:dyDescent="0.25">
      <c r="A14" s="31"/>
      <c r="B14" s="27" t="s">
        <v>191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192</v>
      </c>
      <c r="B15" s="31" t="s">
        <v>245</v>
      </c>
      <c r="C15" s="30">
        <v>3300</v>
      </c>
      <c r="D15" s="30"/>
      <c r="E15" s="30"/>
      <c r="F15" s="30">
        <v>6700</v>
      </c>
      <c r="G15" s="30"/>
      <c r="H15" s="30"/>
      <c r="I15" s="30"/>
      <c r="J15" s="46"/>
      <c r="K15" s="46"/>
      <c r="L15" s="30">
        <f t="shared" si="0"/>
        <v>10000</v>
      </c>
      <c r="M15" s="30">
        <f>471.37+563.88+670.99+877.82+980.93+976.17+3.5+980.48+994.96+3.62+812.42+3.5+182.06+169.87</f>
        <v>7691.57</v>
      </c>
      <c r="N15" s="30">
        <f t="shared" si="1"/>
        <v>2308.4300000000003</v>
      </c>
      <c r="O15" s="29">
        <f>M15/$M$26</f>
        <v>2.1427515533929842E-3</v>
      </c>
    </row>
    <row r="16" spans="1:15" ht="15.95" customHeight="1" x14ac:dyDescent="0.25">
      <c r="A16" s="27" t="s">
        <v>242</v>
      </c>
      <c r="B16" s="27" t="s">
        <v>243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244</v>
      </c>
      <c r="B17" s="27" t="s">
        <v>241</v>
      </c>
      <c r="C17" s="89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22</v>
      </c>
      <c r="B18" s="31" t="s">
        <v>23</v>
      </c>
      <c r="C18" s="30">
        <v>2996512.52</v>
      </c>
      <c r="D18" s="30"/>
      <c r="E18" s="30">
        <v>-100</v>
      </c>
      <c r="F18" s="30"/>
      <c r="G18" s="30"/>
      <c r="H18" s="30"/>
      <c r="I18" s="30"/>
      <c r="J18" s="46"/>
      <c r="K18" s="46">
        <v>100</v>
      </c>
      <c r="L18" s="30">
        <f t="shared" si="0"/>
        <v>2996512.52</v>
      </c>
      <c r="M18" s="30">
        <f>355870+247708.11+247708.11+247708.11+227292.61+228925.85+249709.38+216676.55+174212.3+174212.3+198710.9</f>
        <v>2568734.2199999997</v>
      </c>
      <c r="N18" s="30">
        <f t="shared" si="1"/>
        <v>427778.30000000028</v>
      </c>
      <c r="O18" s="29">
        <f>M18/$M$26</f>
        <v>0.71560932815520306</v>
      </c>
    </row>
    <row r="19" spans="1:15" ht="15.95" hidden="1" customHeight="1" x14ac:dyDescent="0.25">
      <c r="A19" s="31" t="s">
        <v>24</v>
      </c>
      <c r="B19" s="31" t="s">
        <v>32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0"/>
        <v>0</v>
      </c>
      <c r="M19" s="30">
        <v>0</v>
      </c>
      <c r="N19" s="30">
        <f t="shared" si="1"/>
        <v>0</v>
      </c>
      <c r="O19" s="29">
        <f>M19/$M$26</f>
        <v>0</v>
      </c>
    </row>
    <row r="20" spans="1:15" ht="15.95" customHeight="1" x14ac:dyDescent="0.25">
      <c r="A20" s="31" t="s">
        <v>25</v>
      </c>
      <c r="B20" s="31" t="s">
        <v>26</v>
      </c>
      <c r="C20" s="30">
        <v>1809978.55</v>
      </c>
      <c r="D20" s="30"/>
      <c r="E20" s="30"/>
      <c r="F20" s="30"/>
      <c r="G20" s="30"/>
      <c r="H20" s="30"/>
      <c r="I20" s="30"/>
      <c r="J20" s="46"/>
      <c r="K20" s="46"/>
      <c r="L20" s="30">
        <f t="shared" si="0"/>
        <v>1809978.55</v>
      </c>
      <c r="M20" s="30">
        <f>351172.36+20685+206554.63+164923.14</f>
        <v>743335.13</v>
      </c>
      <c r="N20" s="30">
        <f t="shared" si="1"/>
        <v>1066643.42</v>
      </c>
      <c r="O20" s="29">
        <f>M20/$M$26</f>
        <v>0.20708158470885343</v>
      </c>
    </row>
    <row r="21" spans="1:15" ht="15.95" customHeight="1" x14ac:dyDescent="0.25">
      <c r="A21" s="31" t="s">
        <v>27</v>
      </c>
      <c r="B21" s="31" t="s">
        <v>28</v>
      </c>
      <c r="C21" s="30">
        <v>20000</v>
      </c>
      <c r="D21" s="30">
        <v>100</v>
      </c>
      <c r="E21" s="30"/>
      <c r="F21" s="30"/>
      <c r="G21" s="30"/>
      <c r="H21" s="30"/>
      <c r="I21" s="30"/>
      <c r="J21" s="46">
        <v>100</v>
      </c>
      <c r="K21" s="46"/>
      <c r="L21" s="30">
        <f t="shared" si="0"/>
        <v>20200</v>
      </c>
      <c r="M21" s="30">
        <v>20099.82</v>
      </c>
      <c r="N21" s="30">
        <f t="shared" si="1"/>
        <v>100.18000000000029</v>
      </c>
      <c r="O21" s="29">
        <f>M21/$M$26</f>
        <v>5.5994966603592471E-3</v>
      </c>
    </row>
    <row r="22" spans="1:15" ht="15.95" customHeight="1" x14ac:dyDescent="0.25">
      <c r="A22" s="32" t="s">
        <v>31</v>
      </c>
      <c r="B22" s="32" t="s">
        <v>33</v>
      </c>
      <c r="C22" s="33">
        <v>239501.9</v>
      </c>
      <c r="D22" s="33"/>
      <c r="E22" s="33"/>
      <c r="F22" s="33"/>
      <c r="G22" s="33"/>
      <c r="H22" s="33"/>
      <c r="I22" s="33"/>
      <c r="J22" s="70"/>
      <c r="K22" s="70"/>
      <c r="L22" s="30">
        <f t="shared" si="0"/>
        <v>239501.9</v>
      </c>
      <c r="M22" s="30">
        <f>53680.2+72857.59+46207.98+46908.3</f>
        <v>219654.07</v>
      </c>
      <c r="N22" s="30">
        <f t="shared" si="1"/>
        <v>19847.829999999987</v>
      </c>
      <c r="O22" s="29">
        <f>M22/$M$26</f>
        <v>6.1192201293310898E-2</v>
      </c>
    </row>
    <row r="23" spans="1:15" ht="15.95" customHeight="1" x14ac:dyDescent="0.25">
      <c r="A23" s="27"/>
      <c r="B23" s="27" t="s">
        <v>193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30"/>
      <c r="N23" s="28"/>
      <c r="O23" s="29"/>
    </row>
    <row r="24" spans="1:15" ht="15.95" customHeight="1" x14ac:dyDescent="0.25">
      <c r="A24" s="31" t="s">
        <v>196</v>
      </c>
      <c r="B24" s="31" t="s">
        <v>197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>
        <v>0</v>
      </c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195</v>
      </c>
      <c r="B25" s="31" t="s">
        <v>194</v>
      </c>
      <c r="C25" s="30">
        <v>1025276.81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1025276.81</v>
      </c>
      <c r="M25" s="30"/>
      <c r="N25" s="30">
        <f>L25-M25</f>
        <v>1025276.81</v>
      </c>
      <c r="O25" s="29">
        <f>M25/$M$26</f>
        <v>0</v>
      </c>
    </row>
    <row r="26" spans="1:15" ht="18" customHeight="1" thickBot="1" x14ac:dyDescent="0.3">
      <c r="A26" s="34"/>
      <c r="B26" s="35" t="s">
        <v>34</v>
      </c>
      <c r="C26" s="36">
        <f>SUM(C9:C25)</f>
        <v>6416776.6100000013</v>
      </c>
      <c r="D26" s="36">
        <f t="shared" ref="D26:N26" si="2">SUM(D9:D25)</f>
        <v>100</v>
      </c>
      <c r="E26" s="36">
        <f t="shared" si="2"/>
        <v>-100</v>
      </c>
      <c r="F26" s="36">
        <f t="shared" si="2"/>
        <v>6700</v>
      </c>
      <c r="G26" s="36">
        <f t="shared" si="2"/>
        <v>6700</v>
      </c>
      <c r="H26" s="36">
        <f t="shared" si="2"/>
        <v>0</v>
      </c>
      <c r="I26" s="36">
        <f t="shared" si="2"/>
        <v>0</v>
      </c>
      <c r="J26" s="36">
        <f t="shared" si="2"/>
        <v>100</v>
      </c>
      <c r="K26" s="36">
        <f t="shared" si="2"/>
        <v>100</v>
      </c>
      <c r="L26" s="36">
        <f t="shared" si="2"/>
        <v>6416976.6100000013</v>
      </c>
      <c r="M26" s="36">
        <f t="shared" si="2"/>
        <v>3589576.2099999995</v>
      </c>
      <c r="N26" s="36">
        <f t="shared" si="2"/>
        <v>2827400.4000000004</v>
      </c>
      <c r="O26" s="29"/>
    </row>
    <row r="27" spans="1:15" ht="15.95" customHeight="1" x14ac:dyDescent="0.2">
      <c r="A27" s="37"/>
      <c r="B27" s="37"/>
      <c r="C27" s="38">
        <f>6416776.61-C26</f>
        <v>0</v>
      </c>
      <c r="D27" s="38"/>
      <c r="E27" s="38"/>
      <c r="F27" s="38"/>
      <c r="G27" s="38"/>
      <c r="H27" s="38"/>
      <c r="I27" s="38"/>
      <c r="J27" s="69"/>
      <c r="K27" s="69"/>
      <c r="L27" s="38"/>
      <c r="M27" s="38"/>
      <c r="N27" s="38"/>
      <c r="O27" s="39"/>
    </row>
    <row r="28" spans="1:15" ht="15.95" customHeight="1" x14ac:dyDescent="0.25">
      <c r="A28" s="27" t="s">
        <v>35</v>
      </c>
      <c r="B28" s="27" t="s">
        <v>36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37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38</v>
      </c>
      <c r="B31" s="31" t="s">
        <v>159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v>690778.1</v>
      </c>
      <c r="N31" s="30">
        <f t="shared" ref="N31:N97" si="3">L31-M31</f>
        <v>93793.940000000061</v>
      </c>
      <c r="O31" s="40">
        <f t="shared" ref="O31:O40" si="4">M31/$M$136</f>
        <v>0.25315661639929021</v>
      </c>
    </row>
    <row r="32" spans="1:15" ht="15.95" customHeight="1" x14ac:dyDescent="0.2">
      <c r="A32" s="43" t="s">
        <v>39</v>
      </c>
      <c r="B32" s="31" t="s">
        <v>160</v>
      </c>
      <c r="C32" s="30">
        <v>4500</v>
      </c>
      <c r="D32" s="30"/>
      <c r="E32" s="30"/>
      <c r="F32" s="46">
        <v>11000</v>
      </c>
      <c r="G32" s="46"/>
      <c r="H32" s="30"/>
      <c r="I32" s="30"/>
      <c r="J32" s="46"/>
      <c r="K32" s="46"/>
      <c r="L32" s="30">
        <f>C32+D32-E32+F32-G32+H32-I32+J32-K32</f>
        <v>15500</v>
      </c>
      <c r="M32" s="30">
        <v>7125</v>
      </c>
      <c r="N32" s="30">
        <f t="shared" si="3"/>
        <v>8375</v>
      </c>
      <c r="O32" s="40">
        <f t="shared" si="4"/>
        <v>2.6111726643403181E-3</v>
      </c>
    </row>
    <row r="33" spans="1:15" ht="15.95" customHeight="1" x14ac:dyDescent="0.2">
      <c r="A33" s="43" t="s">
        <v>40</v>
      </c>
      <c r="B33" s="31" t="s">
        <v>161</v>
      </c>
      <c r="C33" s="30">
        <v>281100</v>
      </c>
      <c r="D33" s="30"/>
      <c r="E33" s="30"/>
      <c r="F33" s="46"/>
      <c r="G33" s="46"/>
      <c r="H33" s="30"/>
      <c r="I33" s="30"/>
      <c r="J33" s="46"/>
      <c r="K33" s="46"/>
      <c r="L33" s="30">
        <f t="shared" ref="L33:L40" si="5">C33+D33-E33+F33-G33+H33-I33+J33-K33</f>
        <v>281100</v>
      </c>
      <c r="M33" s="30">
        <v>232523.97</v>
      </c>
      <c r="N33" s="30">
        <f t="shared" si="3"/>
        <v>48576.03</v>
      </c>
      <c r="O33" s="40">
        <f t="shared" si="4"/>
        <v>8.5215471476194835E-2</v>
      </c>
    </row>
    <row r="34" spans="1:15" ht="15.95" customHeight="1" x14ac:dyDescent="0.2">
      <c r="A34" s="43" t="s">
        <v>41</v>
      </c>
      <c r="B34" s="31" t="s">
        <v>42</v>
      </c>
      <c r="C34" s="30">
        <v>17500</v>
      </c>
      <c r="D34" s="30"/>
      <c r="E34" s="30"/>
      <c r="F34" s="46"/>
      <c r="G34" s="46"/>
      <c r="H34" s="30"/>
      <c r="I34" s="30"/>
      <c r="J34" s="46"/>
      <c r="K34" s="46"/>
      <c r="L34" s="30">
        <f t="shared" si="5"/>
        <v>17500</v>
      </c>
      <c r="M34" s="30">
        <v>0</v>
      </c>
      <c r="N34" s="30">
        <f t="shared" si="3"/>
        <v>17500</v>
      </c>
      <c r="O34" s="40">
        <f t="shared" si="4"/>
        <v>0</v>
      </c>
    </row>
    <row r="35" spans="1:15" ht="15.95" customHeight="1" x14ac:dyDescent="0.2">
      <c r="A35" s="43" t="s">
        <v>43</v>
      </c>
      <c r="B35" s="31" t="s">
        <v>162</v>
      </c>
      <c r="C35" s="30">
        <v>34510.800000000003</v>
      </c>
      <c r="D35" s="30"/>
      <c r="E35" s="30"/>
      <c r="F35" s="46"/>
      <c r="G35" s="46"/>
      <c r="H35" s="30"/>
      <c r="I35" s="30"/>
      <c r="J35" s="46"/>
      <c r="K35" s="46"/>
      <c r="L35" s="30">
        <f t="shared" si="5"/>
        <v>34510.800000000003</v>
      </c>
      <c r="M35" s="30">
        <v>7079.65</v>
      </c>
      <c r="N35" s="30">
        <f t="shared" si="3"/>
        <v>27431.15</v>
      </c>
      <c r="O35" s="40">
        <f t="shared" si="4"/>
        <v>2.5945527793820255E-3</v>
      </c>
    </row>
    <row r="36" spans="1:15" ht="15.95" customHeight="1" x14ac:dyDescent="0.2">
      <c r="A36" s="43" t="s">
        <v>44</v>
      </c>
      <c r="B36" s="31" t="s">
        <v>163</v>
      </c>
      <c r="C36" s="30">
        <v>87401.15</v>
      </c>
      <c r="D36" s="30"/>
      <c r="E36" s="30"/>
      <c r="F36" s="46"/>
      <c r="G36" s="46"/>
      <c r="H36" s="30"/>
      <c r="I36" s="30"/>
      <c r="J36" s="46"/>
      <c r="K36" s="46"/>
      <c r="L36" s="30">
        <f t="shared" si="5"/>
        <v>87401.15</v>
      </c>
      <c r="M36" s="30">
        <v>74858.240000000005</v>
      </c>
      <c r="N36" s="30">
        <f t="shared" si="3"/>
        <v>12542.909999999989</v>
      </c>
      <c r="O36" s="40">
        <f t="shared" si="4"/>
        <v>2.743407578787747E-2</v>
      </c>
    </row>
    <row r="37" spans="1:15" ht="15.95" customHeight="1" x14ac:dyDescent="0.2">
      <c r="A37" s="43" t="s">
        <v>45</v>
      </c>
      <c r="B37" s="31" t="s">
        <v>164</v>
      </c>
      <c r="C37" s="30">
        <v>8190.84</v>
      </c>
      <c r="D37" s="30"/>
      <c r="E37" s="30"/>
      <c r="F37" s="46"/>
      <c r="G37" s="46"/>
      <c r="H37" s="30"/>
      <c r="I37" s="30"/>
      <c r="J37" s="46"/>
      <c r="K37" s="46"/>
      <c r="L37" s="30">
        <f t="shared" si="5"/>
        <v>8190.84</v>
      </c>
      <c r="M37" s="30">
        <v>7015.77</v>
      </c>
      <c r="N37" s="30">
        <f t="shared" si="3"/>
        <v>1175.0699999999997</v>
      </c>
      <c r="O37" s="40">
        <f t="shared" si="4"/>
        <v>2.571142013094579E-3</v>
      </c>
    </row>
    <row r="38" spans="1:15" ht="15.95" customHeight="1" x14ac:dyDescent="0.2">
      <c r="A38" s="43" t="s">
        <v>46</v>
      </c>
      <c r="B38" s="31" t="s">
        <v>47</v>
      </c>
      <c r="C38" s="30">
        <v>67581.009999999995</v>
      </c>
      <c r="D38" s="30"/>
      <c r="E38" s="30"/>
      <c r="F38" s="46">
        <v>3000</v>
      </c>
      <c r="G38" s="46"/>
      <c r="H38" s="30"/>
      <c r="I38" s="30"/>
      <c r="J38" s="46"/>
      <c r="K38" s="46"/>
      <c r="L38" s="30">
        <f t="shared" si="5"/>
        <v>70581.009999999995</v>
      </c>
      <c r="M38" s="30">
        <v>7930.9</v>
      </c>
      <c r="N38" s="30">
        <f t="shared" si="3"/>
        <v>62650.109999999993</v>
      </c>
      <c r="O38" s="40">
        <f t="shared" si="4"/>
        <v>2.9065191977005792E-3</v>
      </c>
    </row>
    <row r="39" spans="1:15" ht="15.95" customHeight="1" x14ac:dyDescent="0.2">
      <c r="A39" s="43" t="s">
        <v>48</v>
      </c>
      <c r="B39" s="31" t="s">
        <v>165</v>
      </c>
      <c r="C39" s="30">
        <v>67581.009999999995</v>
      </c>
      <c r="D39" s="30"/>
      <c r="E39" s="30"/>
      <c r="F39" s="46">
        <v>3000</v>
      </c>
      <c r="G39" s="46"/>
      <c r="H39" s="30"/>
      <c r="I39" s="30"/>
      <c r="J39" s="46"/>
      <c r="K39" s="46"/>
      <c r="L39" s="30">
        <f t="shared" si="5"/>
        <v>70581.009999999995</v>
      </c>
      <c r="M39" s="30">
        <v>65786.990000000005</v>
      </c>
      <c r="N39" s="30">
        <f t="shared" si="3"/>
        <v>4794.0199999999895</v>
      </c>
      <c r="O39" s="40">
        <f t="shared" si="4"/>
        <v>2.4109640695751562E-2</v>
      </c>
    </row>
    <row r="40" spans="1:15" ht="15.95" customHeight="1" x14ac:dyDescent="0.2">
      <c r="A40" s="43" t="s">
        <v>49</v>
      </c>
      <c r="B40" s="31" t="s">
        <v>50</v>
      </c>
      <c r="C40" s="30">
        <v>4400</v>
      </c>
      <c r="D40" s="30"/>
      <c r="E40" s="30"/>
      <c r="F40" s="46"/>
      <c r="G40" s="46"/>
      <c r="H40" s="30">
        <v>1000</v>
      </c>
      <c r="I40" s="30"/>
      <c r="J40" s="46"/>
      <c r="K40" s="46"/>
      <c r="L40" s="30">
        <f t="shared" si="5"/>
        <v>5400</v>
      </c>
      <c r="M40" s="30">
        <v>99.73</v>
      </c>
      <c r="N40" s="30">
        <f t="shared" si="3"/>
        <v>5300.27</v>
      </c>
      <c r="O40" s="40">
        <f t="shared" si="4"/>
        <v>3.6549087693285601E-5</v>
      </c>
    </row>
    <row r="41" spans="1:15" ht="15.95" customHeight="1" x14ac:dyDescent="0.2">
      <c r="A41" s="43"/>
      <c r="B41" s="31"/>
      <c r="C41" s="30"/>
      <c r="D41" s="30"/>
      <c r="E41" s="30"/>
      <c r="F41" s="46"/>
      <c r="G41" s="46"/>
      <c r="H41" s="30"/>
      <c r="I41" s="30"/>
      <c r="J41" s="46"/>
      <c r="K41" s="46"/>
      <c r="L41" s="30"/>
      <c r="M41" s="30"/>
      <c r="N41" s="30"/>
      <c r="O41" s="40"/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5">
      <c r="A43" s="41">
        <v>1</v>
      </c>
      <c r="B43" s="42" t="s">
        <v>51</v>
      </c>
      <c r="C43" s="28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">
      <c r="A44" s="43" t="s">
        <v>96</v>
      </c>
      <c r="B44" s="31" t="s">
        <v>52</v>
      </c>
      <c r="C44" s="30">
        <v>13750</v>
      </c>
      <c r="D44" s="30"/>
      <c r="E44" s="30"/>
      <c r="F44" s="46"/>
      <c r="G44" s="46"/>
      <c r="H44" s="30"/>
      <c r="I44" s="30"/>
      <c r="J44" s="46"/>
      <c r="K44" s="46"/>
      <c r="L44" s="30">
        <f t="shared" ref="L44:L77" si="6">C44+D44-E44+F44-G44+H44-I44+J44-K44</f>
        <v>13750</v>
      </c>
      <c r="M44" s="30">
        <v>5673.64</v>
      </c>
      <c r="N44" s="30">
        <f t="shared" si="3"/>
        <v>8076.36</v>
      </c>
      <c r="O44" s="40">
        <f t="shared" ref="O44:O59" si="7">M44/$M$136</f>
        <v>2.0792777088151303E-3</v>
      </c>
    </row>
    <row r="45" spans="1:15" ht="15.95" customHeight="1" x14ac:dyDescent="0.2">
      <c r="A45" s="43" t="s">
        <v>97</v>
      </c>
      <c r="B45" s="31" t="s">
        <v>53</v>
      </c>
      <c r="C45" s="30">
        <v>26100</v>
      </c>
      <c r="D45" s="30"/>
      <c r="E45" s="30"/>
      <c r="F45" s="46"/>
      <c r="G45" s="46"/>
      <c r="H45" s="30"/>
      <c r="I45" s="30"/>
      <c r="J45" s="46"/>
      <c r="K45" s="46"/>
      <c r="L45" s="30">
        <f t="shared" si="6"/>
        <v>26100</v>
      </c>
      <c r="M45" s="30">
        <v>15796.42</v>
      </c>
      <c r="N45" s="30">
        <f t="shared" si="3"/>
        <v>10303.58</v>
      </c>
      <c r="O45" s="40">
        <f t="shared" si="7"/>
        <v>5.7890779085527982E-3</v>
      </c>
    </row>
    <row r="46" spans="1:15" ht="15.95" customHeight="1" x14ac:dyDescent="0.2">
      <c r="A46" s="43" t="s">
        <v>98</v>
      </c>
      <c r="B46" s="31" t="s">
        <v>54</v>
      </c>
      <c r="C46" s="30">
        <v>2000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2000</v>
      </c>
      <c r="M46" s="30">
        <v>364.6</v>
      </c>
      <c r="N46" s="30">
        <f t="shared" si="3"/>
        <v>1635.4</v>
      </c>
      <c r="O46" s="40">
        <f t="shared" si="7"/>
        <v>1.336187443394358E-4</v>
      </c>
    </row>
    <row r="47" spans="1:15" ht="15.95" customHeight="1" x14ac:dyDescent="0.2">
      <c r="A47" s="43" t="s">
        <v>99</v>
      </c>
      <c r="B47" s="31" t="s">
        <v>166</v>
      </c>
      <c r="C47" s="30">
        <v>8000</v>
      </c>
      <c r="D47" s="30"/>
      <c r="E47" s="30"/>
      <c r="F47" s="46">
        <v>5000</v>
      </c>
      <c r="G47" s="46"/>
      <c r="H47" s="30"/>
      <c r="I47" s="30"/>
      <c r="J47" s="46"/>
      <c r="K47" s="46"/>
      <c r="L47" s="30">
        <f t="shared" si="6"/>
        <v>13000</v>
      </c>
      <c r="M47" s="30">
        <v>5119.6099999999997</v>
      </c>
      <c r="N47" s="30">
        <f t="shared" si="3"/>
        <v>7880.39</v>
      </c>
      <c r="O47" s="40">
        <f t="shared" si="7"/>
        <v>1.8762365872397662E-3</v>
      </c>
    </row>
    <row r="48" spans="1:15" ht="15.95" customHeight="1" x14ac:dyDescent="0.2">
      <c r="A48" s="43" t="s">
        <v>100</v>
      </c>
      <c r="B48" s="31" t="s">
        <v>167</v>
      </c>
      <c r="C48" s="30">
        <v>14250</v>
      </c>
      <c r="D48" s="30"/>
      <c r="E48" s="30"/>
      <c r="F48" s="46">
        <v>1225</v>
      </c>
      <c r="G48" s="46">
        <v>1325</v>
      </c>
      <c r="H48" s="30"/>
      <c r="I48" s="30"/>
      <c r="J48" s="46"/>
      <c r="K48" s="46"/>
      <c r="L48" s="30">
        <f>C48+D48-E48+F48-G48+H48-I48+J48-K48</f>
        <v>14150</v>
      </c>
      <c r="M48" s="30">
        <v>4102.3500000000004</v>
      </c>
      <c r="N48" s="30">
        <f t="shared" si="3"/>
        <v>10047.65</v>
      </c>
      <c r="O48" s="40">
        <f t="shared" si="7"/>
        <v>1.5034307620430181E-3</v>
      </c>
    </row>
    <row r="49" spans="1:15" ht="15.95" customHeight="1" x14ac:dyDescent="0.2">
      <c r="A49" s="43" t="s">
        <v>101</v>
      </c>
      <c r="B49" s="31" t="s">
        <v>168</v>
      </c>
      <c r="C49" s="30">
        <v>1176868.53</v>
      </c>
      <c r="D49" s="30"/>
      <c r="E49" s="30">
        <v>129000</v>
      </c>
      <c r="F49" s="46"/>
      <c r="G49" s="46">
        <v>675646</v>
      </c>
      <c r="H49" s="30"/>
      <c r="I49" s="30"/>
      <c r="J49" s="46"/>
      <c r="K49" s="46"/>
      <c r="L49" s="30">
        <f t="shared" si="6"/>
        <v>372222.53</v>
      </c>
      <c r="M49" s="30">
        <v>242364.35</v>
      </c>
      <c r="N49" s="30">
        <f t="shared" si="3"/>
        <v>129858.18000000002</v>
      </c>
      <c r="O49" s="40">
        <f t="shared" si="7"/>
        <v>8.8821777618331141E-2</v>
      </c>
    </row>
    <row r="50" spans="1:15" ht="15.95" customHeight="1" x14ac:dyDescent="0.2">
      <c r="A50" s="43" t="s">
        <v>102</v>
      </c>
      <c r="B50" s="31" t="s">
        <v>55</v>
      </c>
      <c r="C50" s="30">
        <v>619609.80000000005</v>
      </c>
      <c r="D50" s="30"/>
      <c r="E50" s="30"/>
      <c r="F50" s="46"/>
      <c r="G50" s="46">
        <v>452038.22</v>
      </c>
      <c r="H50" s="30"/>
      <c r="I50" s="30"/>
      <c r="J50" s="46">
        <v>25000</v>
      </c>
      <c r="K50" s="46"/>
      <c r="L50" s="30">
        <f t="shared" si="6"/>
        <v>192571.58000000007</v>
      </c>
      <c r="M50" s="30">
        <v>77764.509999999995</v>
      </c>
      <c r="N50" s="30">
        <f t="shared" si="3"/>
        <v>114807.07000000008</v>
      </c>
      <c r="O50" s="40">
        <f t="shared" si="7"/>
        <v>2.8499166704255337E-2</v>
      </c>
    </row>
    <row r="51" spans="1:15" ht="15.95" customHeight="1" x14ac:dyDescent="0.2">
      <c r="A51" s="43" t="s">
        <v>103</v>
      </c>
      <c r="B51" s="31" t="s">
        <v>169</v>
      </c>
      <c r="C51" s="30">
        <v>504047.6</v>
      </c>
      <c r="D51" s="30"/>
      <c r="E51" s="30"/>
      <c r="F51" s="46"/>
      <c r="G51" s="46">
        <v>287247.59999999998</v>
      </c>
      <c r="H51" s="30"/>
      <c r="I51" s="30"/>
      <c r="J51" s="46"/>
      <c r="K51" s="46"/>
      <c r="L51" s="30">
        <f t="shared" si="6"/>
        <v>216800</v>
      </c>
      <c r="M51" s="30">
        <v>161379.76</v>
      </c>
      <c r="N51" s="30">
        <f t="shared" si="3"/>
        <v>55420.239999999991</v>
      </c>
      <c r="O51" s="40">
        <f t="shared" si="7"/>
        <v>5.9142514791551033E-2</v>
      </c>
    </row>
    <row r="52" spans="1:15" ht="15.95" customHeight="1" x14ac:dyDescent="0.2">
      <c r="A52" s="43" t="s">
        <v>104</v>
      </c>
      <c r="B52" s="31" t="s">
        <v>56</v>
      </c>
      <c r="C52" s="30">
        <v>20750</v>
      </c>
      <c r="D52" s="30"/>
      <c r="E52" s="30"/>
      <c r="F52" s="46">
        <v>8000</v>
      </c>
      <c r="G52" s="46"/>
      <c r="H52" s="30">
        <v>100000</v>
      </c>
      <c r="I52" s="30"/>
      <c r="J52" s="46"/>
      <c r="K52" s="46">
        <v>25000</v>
      </c>
      <c r="L52" s="30">
        <f t="shared" si="6"/>
        <v>103750</v>
      </c>
      <c r="M52" s="30">
        <v>46144.58</v>
      </c>
      <c r="N52" s="30">
        <f t="shared" si="3"/>
        <v>57605.42</v>
      </c>
      <c r="O52" s="40">
        <f t="shared" si="7"/>
        <v>1.6911082933819644E-2</v>
      </c>
    </row>
    <row r="53" spans="1:15" ht="15.95" customHeight="1" x14ac:dyDescent="0.2">
      <c r="A53" s="43" t="s">
        <v>105</v>
      </c>
      <c r="B53" s="31" t="s">
        <v>57</v>
      </c>
      <c r="C53" s="30">
        <v>42500</v>
      </c>
      <c r="D53" s="30"/>
      <c r="E53" s="30"/>
      <c r="F53" s="46">
        <v>42500</v>
      </c>
      <c r="G53" s="46"/>
      <c r="H53" s="30"/>
      <c r="I53" s="30"/>
      <c r="J53" s="46"/>
      <c r="K53" s="46"/>
      <c r="L53" s="30">
        <f t="shared" si="6"/>
        <v>85000</v>
      </c>
      <c r="M53" s="30">
        <v>5200</v>
      </c>
      <c r="N53" s="30">
        <f t="shared" si="3"/>
        <v>79800</v>
      </c>
      <c r="O53" s="40">
        <f t="shared" si="7"/>
        <v>1.9056979445010041E-3</v>
      </c>
    </row>
    <row r="54" spans="1:15" ht="15.95" customHeight="1" x14ac:dyDescent="0.2">
      <c r="A54" s="43" t="s">
        <v>106</v>
      </c>
      <c r="B54" s="31" t="s">
        <v>58</v>
      </c>
      <c r="C54" s="30">
        <v>4400</v>
      </c>
      <c r="D54" s="30"/>
      <c r="E54" s="30"/>
      <c r="F54" s="46"/>
      <c r="G54" s="46"/>
      <c r="H54" s="30"/>
      <c r="I54" s="30"/>
      <c r="J54" s="46"/>
      <c r="K54" s="46"/>
      <c r="L54" s="30">
        <f t="shared" si="6"/>
        <v>4400</v>
      </c>
      <c r="M54" s="30">
        <v>1620</v>
      </c>
      <c r="N54" s="30">
        <f t="shared" si="3"/>
        <v>2780</v>
      </c>
      <c r="O54" s="40">
        <f t="shared" si="7"/>
        <v>5.9369820578685124E-4</v>
      </c>
    </row>
    <row r="55" spans="1:15" ht="15.95" customHeight="1" x14ac:dyDescent="0.2">
      <c r="A55" s="43" t="s">
        <v>107</v>
      </c>
      <c r="B55" s="31" t="s">
        <v>170</v>
      </c>
      <c r="C55" s="30">
        <v>3004.32</v>
      </c>
      <c r="D55" s="30"/>
      <c r="E55" s="30"/>
      <c r="F55" s="46"/>
      <c r="G55" s="46"/>
      <c r="H55" s="30"/>
      <c r="I55" s="30"/>
      <c r="J55" s="46"/>
      <c r="K55" s="46"/>
      <c r="L55" s="30">
        <f t="shared" si="6"/>
        <v>3004.32</v>
      </c>
      <c r="M55" s="30">
        <v>630</v>
      </c>
      <c r="N55" s="30">
        <f t="shared" si="3"/>
        <v>2374.3200000000002</v>
      </c>
      <c r="O55" s="40">
        <f t="shared" si="7"/>
        <v>2.3088263558377549E-4</v>
      </c>
    </row>
    <row r="56" spans="1:15" ht="15.95" customHeight="1" x14ac:dyDescent="0.2">
      <c r="A56" s="43" t="s">
        <v>108</v>
      </c>
      <c r="B56" s="31" t="s">
        <v>171</v>
      </c>
      <c r="C56" s="30">
        <v>7750</v>
      </c>
      <c r="D56" s="30"/>
      <c r="E56" s="30"/>
      <c r="F56" s="46">
        <v>20000</v>
      </c>
      <c r="G56" s="46"/>
      <c r="H56" s="30"/>
      <c r="I56" s="30"/>
      <c r="J56" s="46"/>
      <c r="K56" s="46"/>
      <c r="L56" s="30">
        <f t="shared" si="6"/>
        <v>27750</v>
      </c>
      <c r="M56" s="30">
        <v>4500</v>
      </c>
      <c r="N56" s="30">
        <f t="shared" si="3"/>
        <v>23250</v>
      </c>
      <c r="O56" s="40">
        <f t="shared" si="7"/>
        <v>1.6491616827412534E-3</v>
      </c>
    </row>
    <row r="57" spans="1:15" ht="15.95" customHeight="1" x14ac:dyDescent="0.2">
      <c r="A57" s="43" t="s">
        <v>109</v>
      </c>
      <c r="B57" s="31" t="s">
        <v>172</v>
      </c>
      <c r="C57" s="30">
        <v>7000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7000</v>
      </c>
      <c r="M57" s="30">
        <v>263.2</v>
      </c>
      <c r="N57" s="30">
        <f t="shared" si="3"/>
        <v>6736.8</v>
      </c>
      <c r="O57" s="40">
        <f t="shared" si="7"/>
        <v>9.6457634421666204E-5</v>
      </c>
    </row>
    <row r="58" spans="1:15" ht="15.95" customHeight="1" x14ac:dyDescent="0.2">
      <c r="A58" s="43" t="s">
        <v>110</v>
      </c>
      <c r="B58" s="31" t="s">
        <v>173</v>
      </c>
      <c r="C58" s="30">
        <v>4000</v>
      </c>
      <c r="D58" s="30"/>
      <c r="E58" s="30"/>
      <c r="F58" s="46">
        <v>3000</v>
      </c>
      <c r="G58" s="46"/>
      <c r="H58" s="30"/>
      <c r="I58" s="30"/>
      <c r="J58" s="46"/>
      <c r="K58" s="46"/>
      <c r="L58" s="30">
        <f t="shared" si="6"/>
        <v>7000</v>
      </c>
      <c r="M58" s="30">
        <v>3420</v>
      </c>
      <c r="N58" s="30">
        <f t="shared" si="3"/>
        <v>3580</v>
      </c>
      <c r="O58" s="40">
        <f t="shared" si="7"/>
        <v>1.2533628788833526E-3</v>
      </c>
    </row>
    <row r="59" spans="1:15" ht="15.95" hidden="1" customHeight="1" x14ac:dyDescent="0.2">
      <c r="A59" s="43" t="s">
        <v>111</v>
      </c>
      <c r="B59" s="31" t="s">
        <v>174</v>
      </c>
      <c r="C59" s="30"/>
      <c r="D59" s="30"/>
      <c r="E59" s="30"/>
      <c r="F59" s="46"/>
      <c r="G59" s="46"/>
      <c r="H59" s="30"/>
      <c r="I59" s="30"/>
      <c r="J59" s="46"/>
      <c r="K59" s="46"/>
      <c r="L59" s="30">
        <f t="shared" si="6"/>
        <v>0</v>
      </c>
      <c r="M59" s="30">
        <v>0</v>
      </c>
      <c r="N59" s="30">
        <f t="shared" si="3"/>
        <v>0</v>
      </c>
      <c r="O59" s="40">
        <f t="shared" si="7"/>
        <v>0</v>
      </c>
    </row>
    <row r="60" spans="1:15" ht="15.95" customHeight="1" x14ac:dyDescent="0.2">
      <c r="A60" s="43">
        <v>169</v>
      </c>
      <c r="B60" s="31" t="s">
        <v>271</v>
      </c>
      <c r="C60" s="30"/>
      <c r="D60" s="30"/>
      <c r="E60" s="30"/>
      <c r="F60" s="46">
        <v>10000</v>
      </c>
      <c r="G60" s="46"/>
      <c r="H60" s="30"/>
      <c r="I60" s="30"/>
      <c r="J60" s="46"/>
      <c r="K60" s="46"/>
      <c r="L60" s="30">
        <f t="shared" si="6"/>
        <v>10000</v>
      </c>
      <c r="M60" s="30"/>
      <c r="N60" s="30">
        <f t="shared" si="3"/>
        <v>10000</v>
      </c>
      <c r="O60" s="40"/>
    </row>
    <row r="61" spans="1:15" ht="15.95" customHeight="1" x14ac:dyDescent="0.2">
      <c r="A61" s="43">
        <v>171</v>
      </c>
      <c r="B61" s="31" t="s">
        <v>174</v>
      </c>
      <c r="C61" s="30"/>
      <c r="D61" s="30"/>
      <c r="E61" s="30"/>
      <c r="F61" s="46">
        <v>225000</v>
      </c>
      <c r="G61" s="46"/>
      <c r="H61" s="30"/>
      <c r="I61" s="30"/>
      <c r="J61" s="46"/>
      <c r="K61" s="46"/>
      <c r="L61" s="30">
        <f t="shared" si="6"/>
        <v>225000</v>
      </c>
      <c r="M61" s="30"/>
      <c r="N61" s="30">
        <f t="shared" si="3"/>
        <v>225000</v>
      </c>
      <c r="O61" s="40"/>
    </row>
    <row r="62" spans="1:15" ht="15.95" customHeight="1" x14ac:dyDescent="0.2">
      <c r="A62" s="43" t="s">
        <v>112</v>
      </c>
      <c r="B62" s="31" t="s">
        <v>175</v>
      </c>
      <c r="C62" s="30">
        <v>9750</v>
      </c>
      <c r="D62" s="30"/>
      <c r="E62" s="30"/>
      <c r="F62" s="46">
        <v>25000</v>
      </c>
      <c r="G62" s="46"/>
      <c r="H62" s="30"/>
      <c r="I62" s="30"/>
      <c r="J62" s="46"/>
      <c r="K62" s="46"/>
      <c r="L62" s="30">
        <f t="shared" si="6"/>
        <v>34750</v>
      </c>
      <c r="M62" s="30">
        <v>0</v>
      </c>
      <c r="N62" s="30">
        <f t="shared" si="3"/>
        <v>34750</v>
      </c>
      <c r="O62" s="40">
        <f t="shared" ref="O62:O77" si="8">M62/$M$136</f>
        <v>0</v>
      </c>
    </row>
    <row r="63" spans="1:15" ht="15.95" customHeight="1" x14ac:dyDescent="0.2">
      <c r="A63" s="43" t="s">
        <v>113</v>
      </c>
      <c r="B63" s="31" t="s">
        <v>176</v>
      </c>
      <c r="C63" s="30">
        <v>260706.83</v>
      </c>
      <c r="D63" s="30"/>
      <c r="E63" s="30"/>
      <c r="F63" s="46"/>
      <c r="G63" s="46"/>
      <c r="H63" s="30"/>
      <c r="I63" s="30"/>
      <c r="J63" s="46"/>
      <c r="K63" s="46"/>
      <c r="L63" s="30">
        <f t="shared" si="6"/>
        <v>260706.83</v>
      </c>
      <c r="M63" s="30">
        <v>0</v>
      </c>
      <c r="N63" s="30">
        <f t="shared" si="3"/>
        <v>260706.83</v>
      </c>
      <c r="O63" s="40">
        <f t="shared" si="8"/>
        <v>0</v>
      </c>
    </row>
    <row r="64" spans="1:15" ht="15.95" customHeight="1" x14ac:dyDescent="0.2">
      <c r="A64" s="43">
        <v>182</v>
      </c>
      <c r="B64" s="31" t="s">
        <v>255</v>
      </c>
      <c r="C64" s="30">
        <v>0</v>
      </c>
      <c r="D64" s="30">
        <v>2500</v>
      </c>
      <c r="E64" s="30"/>
      <c r="F64" s="46"/>
      <c r="G64" s="46"/>
      <c r="H64" s="30"/>
      <c r="I64" s="30"/>
      <c r="J64" s="46"/>
      <c r="K64" s="46"/>
      <c r="L64" s="30">
        <f t="shared" si="6"/>
        <v>2500</v>
      </c>
      <c r="M64" s="30">
        <v>0</v>
      </c>
      <c r="N64" s="30">
        <f t="shared" si="3"/>
        <v>2500</v>
      </c>
      <c r="O64" s="40">
        <f t="shared" si="8"/>
        <v>0</v>
      </c>
    </row>
    <row r="65" spans="1:15" ht="15.95" customHeight="1" x14ac:dyDescent="0.2">
      <c r="A65" s="43" t="s">
        <v>114</v>
      </c>
      <c r="B65" s="31" t="s">
        <v>177</v>
      </c>
      <c r="C65" s="30">
        <v>15000</v>
      </c>
      <c r="D65" s="30">
        <v>12000</v>
      </c>
      <c r="E65" s="30"/>
      <c r="F65" s="46"/>
      <c r="G65" s="46"/>
      <c r="H65" s="30"/>
      <c r="I65" s="30"/>
      <c r="J65" s="46"/>
      <c r="K65" s="46"/>
      <c r="L65" s="30">
        <f t="shared" si="6"/>
        <v>27000</v>
      </c>
      <c r="M65" s="30">
        <v>5650</v>
      </c>
      <c r="N65" s="30">
        <f t="shared" si="3"/>
        <v>21350</v>
      </c>
      <c r="O65" s="40">
        <f t="shared" si="8"/>
        <v>2.0706141127751292E-3</v>
      </c>
    </row>
    <row r="66" spans="1:15" ht="15.95" customHeight="1" x14ac:dyDescent="0.2">
      <c r="A66" s="43" t="s">
        <v>115</v>
      </c>
      <c r="B66" s="31" t="s">
        <v>178</v>
      </c>
      <c r="C66" s="30">
        <v>54000</v>
      </c>
      <c r="D66" s="30"/>
      <c r="E66" s="30"/>
      <c r="F66" s="46"/>
      <c r="G66" s="46"/>
      <c r="H66" s="30"/>
      <c r="I66" s="30"/>
      <c r="J66" s="46"/>
      <c r="K66" s="46"/>
      <c r="L66" s="30">
        <f t="shared" si="6"/>
        <v>54000</v>
      </c>
      <c r="M66" s="30">
        <v>49500</v>
      </c>
      <c r="N66" s="30">
        <f t="shared" si="3"/>
        <v>4500</v>
      </c>
      <c r="O66" s="40">
        <f t="shared" si="8"/>
        <v>1.8140778510153787E-2</v>
      </c>
    </row>
    <row r="67" spans="1:15" ht="15.95" customHeight="1" x14ac:dyDescent="0.2">
      <c r="A67" s="43" t="s">
        <v>116</v>
      </c>
      <c r="B67" s="31" t="s">
        <v>59</v>
      </c>
      <c r="C67" s="30">
        <v>7500</v>
      </c>
      <c r="D67" s="30"/>
      <c r="E67" s="30"/>
      <c r="F67" s="46"/>
      <c r="G67" s="46"/>
      <c r="H67" s="30"/>
      <c r="I67" s="30"/>
      <c r="J67" s="46"/>
      <c r="K67" s="46"/>
      <c r="L67" s="30">
        <f t="shared" si="6"/>
        <v>7500</v>
      </c>
      <c r="M67" s="30">
        <v>500</v>
      </c>
      <c r="N67" s="30">
        <f t="shared" si="3"/>
        <v>7000</v>
      </c>
      <c r="O67" s="40">
        <f t="shared" si="8"/>
        <v>1.832401869712504E-4</v>
      </c>
    </row>
    <row r="68" spans="1:15" ht="15.95" customHeight="1" x14ac:dyDescent="0.2">
      <c r="A68" s="43" t="s">
        <v>117</v>
      </c>
      <c r="B68" s="31" t="s">
        <v>179</v>
      </c>
      <c r="C68" s="30">
        <v>24540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24540</v>
      </c>
      <c r="M68" s="30">
        <v>11142</v>
      </c>
      <c r="N68" s="30">
        <f t="shared" si="3"/>
        <v>13398</v>
      </c>
      <c r="O68" s="40">
        <f t="shared" si="8"/>
        <v>4.0833243264673438E-3</v>
      </c>
    </row>
    <row r="69" spans="1:15" ht="15.95" customHeight="1" x14ac:dyDescent="0.2">
      <c r="A69" s="43" t="s">
        <v>118</v>
      </c>
      <c r="B69" s="31" t="s">
        <v>180</v>
      </c>
      <c r="C69" s="30">
        <v>8000</v>
      </c>
      <c r="D69" s="30"/>
      <c r="E69" s="30"/>
      <c r="F69" s="46">
        <v>1836</v>
      </c>
      <c r="G69" s="46">
        <v>4400</v>
      </c>
      <c r="H69" s="30"/>
      <c r="I69" s="30"/>
      <c r="J69" s="46"/>
      <c r="K69" s="46"/>
      <c r="L69" s="30">
        <f t="shared" si="6"/>
        <v>5436</v>
      </c>
      <c r="M69" s="30">
        <v>4000</v>
      </c>
      <c r="N69" s="30">
        <f t="shared" si="3"/>
        <v>1436</v>
      </c>
      <c r="O69" s="40">
        <f t="shared" si="8"/>
        <v>1.4659214957700032E-3</v>
      </c>
    </row>
    <row r="70" spans="1:15" ht="15.95" customHeight="1" x14ac:dyDescent="0.2">
      <c r="A70" s="43" t="s">
        <v>119</v>
      </c>
      <c r="B70" s="31" t="s">
        <v>181</v>
      </c>
      <c r="C70" s="30">
        <v>8000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8000</v>
      </c>
      <c r="M70" s="30">
        <v>0</v>
      </c>
      <c r="N70" s="30">
        <f t="shared" si="3"/>
        <v>8000</v>
      </c>
      <c r="O70" s="40">
        <f t="shared" si="8"/>
        <v>0</v>
      </c>
    </row>
    <row r="71" spans="1:15" ht="15.95" customHeight="1" x14ac:dyDescent="0.2">
      <c r="A71" s="43" t="s">
        <v>120</v>
      </c>
      <c r="B71" s="31" t="s">
        <v>60</v>
      </c>
      <c r="C71" s="30">
        <v>225800</v>
      </c>
      <c r="D71" s="30">
        <v>17000</v>
      </c>
      <c r="E71" s="30"/>
      <c r="F71" s="46"/>
      <c r="G71" s="46">
        <v>1300</v>
      </c>
      <c r="H71" s="30"/>
      <c r="I71" s="30"/>
      <c r="J71" s="46"/>
      <c r="K71" s="46"/>
      <c r="L71" s="30">
        <f t="shared" si="6"/>
        <v>241500</v>
      </c>
      <c r="M71" s="30">
        <v>236025</v>
      </c>
      <c r="N71" s="30">
        <f t="shared" si="3"/>
        <v>5475</v>
      </c>
      <c r="O71" s="40">
        <f t="shared" si="8"/>
        <v>8.6498530259778744E-2</v>
      </c>
    </row>
    <row r="72" spans="1:15" ht="15.95" customHeight="1" x14ac:dyDescent="0.2">
      <c r="A72" s="43" t="s">
        <v>121</v>
      </c>
      <c r="B72" s="31" t="s">
        <v>182</v>
      </c>
      <c r="C72" s="30">
        <v>8250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8250</v>
      </c>
      <c r="M72" s="30">
        <v>4888.78</v>
      </c>
      <c r="N72" s="30">
        <f t="shared" si="3"/>
        <v>3361.2200000000003</v>
      </c>
      <c r="O72" s="40">
        <f t="shared" si="8"/>
        <v>1.7916419225226189E-3</v>
      </c>
    </row>
    <row r="73" spans="1:15" ht="15.95" customHeight="1" x14ac:dyDescent="0.2">
      <c r="A73" s="43" t="s">
        <v>122</v>
      </c>
      <c r="B73" s="31" t="s">
        <v>183</v>
      </c>
      <c r="C73" s="30">
        <v>2500</v>
      </c>
      <c r="D73" s="30"/>
      <c r="E73" s="30"/>
      <c r="F73" s="46"/>
      <c r="G73" s="46"/>
      <c r="H73" s="30"/>
      <c r="I73" s="30"/>
      <c r="J73" s="46"/>
      <c r="K73" s="46"/>
      <c r="L73" s="30">
        <f t="shared" si="6"/>
        <v>2500</v>
      </c>
      <c r="M73" s="30">
        <f>1996.5-20</f>
        <v>1976.5</v>
      </c>
      <c r="N73" s="30">
        <f t="shared" si="3"/>
        <v>523.5</v>
      </c>
      <c r="O73" s="40">
        <f t="shared" si="8"/>
        <v>7.2434845909735278E-4</v>
      </c>
    </row>
    <row r="74" spans="1:15" ht="15.95" customHeight="1" x14ac:dyDescent="0.2">
      <c r="A74" s="43" t="s">
        <v>123</v>
      </c>
      <c r="B74" s="31" t="s">
        <v>61</v>
      </c>
      <c r="C74" s="30">
        <v>7000</v>
      </c>
      <c r="D74" s="30"/>
      <c r="E74" s="30"/>
      <c r="F74" s="46">
        <v>50000</v>
      </c>
      <c r="G74" s="46"/>
      <c r="H74" s="30"/>
      <c r="I74" s="30"/>
      <c r="J74" s="46"/>
      <c r="K74" s="46"/>
      <c r="L74" s="30">
        <f t="shared" si="6"/>
        <v>57000</v>
      </c>
      <c r="M74" s="30">
        <v>51177.14</v>
      </c>
      <c r="N74" s="30">
        <f t="shared" si="3"/>
        <v>5822.8600000000006</v>
      </c>
      <c r="O74" s="40">
        <f t="shared" si="8"/>
        <v>1.8755417404507715E-2</v>
      </c>
    </row>
    <row r="75" spans="1:15" ht="15.95" customHeight="1" x14ac:dyDescent="0.2">
      <c r="A75" s="43" t="s">
        <v>124</v>
      </c>
      <c r="B75" s="31" t="s">
        <v>184</v>
      </c>
      <c r="C75" s="30">
        <v>2000</v>
      </c>
      <c r="D75" s="30"/>
      <c r="E75" s="30"/>
      <c r="F75" s="46"/>
      <c r="G75" s="46"/>
      <c r="H75" s="30"/>
      <c r="I75" s="30"/>
      <c r="J75" s="46"/>
      <c r="K75" s="46"/>
      <c r="L75" s="30">
        <f t="shared" si="6"/>
        <v>2000</v>
      </c>
      <c r="M75" s="30">
        <v>0</v>
      </c>
      <c r="N75" s="30">
        <f t="shared" si="3"/>
        <v>2000</v>
      </c>
      <c r="O75" s="40">
        <f t="shared" si="8"/>
        <v>0</v>
      </c>
    </row>
    <row r="76" spans="1:15" ht="15.95" customHeight="1" x14ac:dyDescent="0.2">
      <c r="A76" s="43" t="s">
        <v>185</v>
      </c>
      <c r="B76" s="31" t="s">
        <v>157</v>
      </c>
      <c r="C76" s="30">
        <v>89500</v>
      </c>
      <c r="D76" s="30"/>
      <c r="E76" s="30"/>
      <c r="F76" s="46"/>
      <c r="G76" s="46"/>
      <c r="H76" s="30">
        <v>35000</v>
      </c>
      <c r="I76" s="30"/>
      <c r="J76" s="46"/>
      <c r="K76" s="46"/>
      <c r="L76" s="30">
        <f t="shared" si="6"/>
        <v>124500</v>
      </c>
      <c r="M76" s="30">
        <v>74625</v>
      </c>
      <c r="N76" s="30">
        <f t="shared" si="3"/>
        <v>49875</v>
      </c>
      <c r="O76" s="40">
        <f t="shared" si="8"/>
        <v>2.734859790545912E-2</v>
      </c>
    </row>
    <row r="77" spans="1:15" ht="15.95" customHeight="1" x14ac:dyDescent="0.2">
      <c r="A77" s="43" t="s">
        <v>125</v>
      </c>
      <c r="B77" s="31" t="s">
        <v>186</v>
      </c>
      <c r="C77" s="30">
        <v>21000</v>
      </c>
      <c r="D77" s="30">
        <v>3500</v>
      </c>
      <c r="E77" s="30"/>
      <c r="F77" s="46">
        <f>15000+100000</f>
        <v>115000</v>
      </c>
      <c r="G77" s="46">
        <v>6000</v>
      </c>
      <c r="H77" s="30"/>
      <c r="I77" s="30"/>
      <c r="J77" s="46"/>
      <c r="K77" s="46"/>
      <c r="L77" s="30">
        <f t="shared" si="6"/>
        <v>133500</v>
      </c>
      <c r="M77" s="30">
        <v>31309.09</v>
      </c>
      <c r="N77" s="30">
        <f t="shared" si="3"/>
        <v>102190.91</v>
      </c>
      <c r="O77" s="40">
        <f t="shared" si="8"/>
        <v>1.1474167010999412E-2</v>
      </c>
    </row>
    <row r="78" spans="1:15" ht="15.95" customHeight="1" x14ac:dyDescent="0.2">
      <c r="A78" s="43"/>
      <c r="B78" s="31"/>
      <c r="C78" s="30"/>
      <c r="D78" s="30"/>
      <c r="E78" s="30"/>
      <c r="F78" s="46"/>
      <c r="G78" s="46"/>
      <c r="H78" s="30"/>
      <c r="I78" s="30"/>
      <c r="J78" s="46"/>
      <c r="K78" s="46"/>
      <c r="L78" s="30"/>
      <c r="M78" s="30"/>
      <c r="N78" s="30"/>
      <c r="O78" s="40"/>
    </row>
    <row r="79" spans="1:15" ht="15.95" customHeight="1" x14ac:dyDescent="0.2">
      <c r="A79" s="43"/>
      <c r="B79" s="31"/>
      <c r="C79" s="30"/>
      <c r="D79" s="30"/>
      <c r="E79" s="30"/>
      <c r="F79" s="46"/>
      <c r="G79" s="46"/>
      <c r="H79" s="30"/>
      <c r="I79" s="30"/>
      <c r="J79" s="46"/>
      <c r="K79" s="46"/>
      <c r="L79" s="30"/>
      <c r="M79" s="30"/>
      <c r="N79" s="30"/>
      <c r="O79" s="40"/>
    </row>
    <row r="80" spans="1:15" ht="15.95" customHeight="1" x14ac:dyDescent="0.25">
      <c r="A80" s="41">
        <v>2</v>
      </c>
      <c r="B80" s="42" t="s">
        <v>62</v>
      </c>
      <c r="C80" s="28"/>
      <c r="D80" s="30"/>
      <c r="E80" s="30"/>
      <c r="F80" s="46"/>
      <c r="G80" s="46"/>
      <c r="H80" s="30"/>
      <c r="I80" s="30"/>
      <c r="J80" s="46"/>
      <c r="K80" s="46"/>
      <c r="L80" s="30"/>
      <c r="M80" s="30"/>
      <c r="N80" s="30"/>
      <c r="O80" s="40"/>
    </row>
    <row r="81" spans="1:15" ht="15.95" customHeight="1" x14ac:dyDescent="0.2">
      <c r="A81" s="43" t="s">
        <v>126</v>
      </c>
      <c r="B81" s="31" t="s">
        <v>63</v>
      </c>
      <c r="C81" s="30">
        <v>114414.1</v>
      </c>
      <c r="D81" s="30"/>
      <c r="E81" s="30"/>
      <c r="F81" s="46"/>
      <c r="G81" s="46">
        <v>29550.1</v>
      </c>
      <c r="H81" s="30"/>
      <c r="I81" s="30"/>
      <c r="J81" s="46"/>
      <c r="K81" s="46"/>
      <c r="L81" s="30">
        <f t="shared" ref="L81:L117" si="9">C81+D81-E81+F81-G81+H81-I81+J81-K81</f>
        <v>84864</v>
      </c>
      <c r="M81" s="30">
        <v>27566.42</v>
      </c>
      <c r="N81" s="30">
        <f t="shared" si="3"/>
        <v>57297.58</v>
      </c>
      <c r="O81" s="40">
        <f t="shared" ref="O81:O117" si="10">M81/$M$136</f>
        <v>1.0102551909856032E-2</v>
      </c>
    </row>
    <row r="82" spans="1:15" ht="15.95" hidden="1" customHeight="1" x14ac:dyDescent="0.2">
      <c r="A82" s="43">
        <v>214</v>
      </c>
      <c r="B82" s="31" t="s">
        <v>198</v>
      </c>
      <c r="C82" s="30"/>
      <c r="D82" s="30"/>
      <c r="E82" s="30"/>
      <c r="F82" s="46"/>
      <c r="G82" s="46"/>
      <c r="H82" s="30"/>
      <c r="I82" s="30"/>
      <c r="J82" s="46"/>
      <c r="K82" s="46"/>
      <c r="L82" s="30">
        <f t="shared" si="9"/>
        <v>0</v>
      </c>
      <c r="M82" s="30">
        <v>0</v>
      </c>
      <c r="N82" s="30">
        <f t="shared" si="3"/>
        <v>0</v>
      </c>
      <c r="O82" s="40">
        <f t="shared" si="10"/>
        <v>0</v>
      </c>
    </row>
    <row r="83" spans="1:15" ht="15.95" customHeight="1" x14ac:dyDescent="0.2">
      <c r="A83" s="43">
        <v>223</v>
      </c>
      <c r="B83" s="31" t="s">
        <v>199</v>
      </c>
      <c r="C83" s="30">
        <v>0</v>
      </c>
      <c r="D83" s="30">
        <v>1500</v>
      </c>
      <c r="E83" s="30"/>
      <c r="F83" s="46">
        <v>2000</v>
      </c>
      <c r="G83" s="46"/>
      <c r="H83" s="30"/>
      <c r="I83" s="30"/>
      <c r="J83" s="46"/>
      <c r="K83" s="46"/>
      <c r="L83" s="30">
        <f t="shared" si="9"/>
        <v>3500</v>
      </c>
      <c r="M83" s="30">
        <v>100</v>
      </c>
      <c r="N83" s="30">
        <f t="shared" si="3"/>
        <v>3400</v>
      </c>
      <c r="O83" s="40">
        <f t="shared" si="10"/>
        <v>3.6648037394250076E-5</v>
      </c>
    </row>
    <row r="84" spans="1:15" ht="15.95" hidden="1" customHeight="1" x14ac:dyDescent="0.2">
      <c r="A84" s="43">
        <v>229</v>
      </c>
      <c r="B84" s="31" t="s">
        <v>200</v>
      </c>
      <c r="C84" s="30"/>
      <c r="D84" s="30"/>
      <c r="E84" s="30"/>
      <c r="F84" s="46"/>
      <c r="G84" s="46"/>
      <c r="H84" s="30"/>
      <c r="I84" s="30"/>
      <c r="J84" s="46"/>
      <c r="K84" s="46"/>
      <c r="L84" s="30">
        <f t="shared" si="9"/>
        <v>0</v>
      </c>
      <c r="M84" s="30">
        <v>0</v>
      </c>
      <c r="N84" s="30">
        <f t="shared" si="3"/>
        <v>0</v>
      </c>
      <c r="O84" s="40">
        <f t="shared" si="10"/>
        <v>0</v>
      </c>
    </row>
    <row r="85" spans="1:15" ht="15.95" customHeight="1" x14ac:dyDescent="0.2">
      <c r="A85" s="43" t="s">
        <v>127</v>
      </c>
      <c r="B85" s="31" t="s">
        <v>64</v>
      </c>
      <c r="C85" s="30">
        <v>2750</v>
      </c>
      <c r="D85" s="30"/>
      <c r="E85" s="30"/>
      <c r="F85" s="46">
        <v>5000</v>
      </c>
      <c r="G85" s="46"/>
      <c r="H85" s="30"/>
      <c r="I85" s="30"/>
      <c r="J85" s="46"/>
      <c r="K85" s="46"/>
      <c r="L85" s="30">
        <f t="shared" si="9"/>
        <v>7750</v>
      </c>
      <c r="M85" s="30">
        <v>1401.57</v>
      </c>
      <c r="N85" s="30">
        <f t="shared" si="3"/>
        <v>6348.43</v>
      </c>
      <c r="O85" s="40">
        <f t="shared" si="10"/>
        <v>5.1364789770659081E-4</v>
      </c>
    </row>
    <row r="86" spans="1:15" ht="15.95" customHeight="1" x14ac:dyDescent="0.2">
      <c r="A86" s="43" t="s">
        <v>128</v>
      </c>
      <c r="B86" s="31" t="s">
        <v>65</v>
      </c>
      <c r="C86" s="30">
        <v>16800</v>
      </c>
      <c r="D86" s="30"/>
      <c r="E86" s="30"/>
      <c r="F86" s="46">
        <v>10000</v>
      </c>
      <c r="G86" s="46"/>
      <c r="H86" s="30"/>
      <c r="I86" s="30"/>
      <c r="J86" s="46"/>
      <c r="K86" s="46"/>
      <c r="L86" s="30">
        <f t="shared" si="9"/>
        <v>26800</v>
      </c>
      <c r="M86" s="30">
        <v>3008</v>
      </c>
      <c r="N86" s="30">
        <f t="shared" si="3"/>
        <v>23792</v>
      </c>
      <c r="O86" s="40">
        <f t="shared" si="10"/>
        <v>1.1023729648190423E-3</v>
      </c>
    </row>
    <row r="87" spans="1:15" ht="15.95" customHeight="1" x14ac:dyDescent="0.2">
      <c r="A87" s="43" t="s">
        <v>129</v>
      </c>
      <c r="B87" s="31" t="s">
        <v>66</v>
      </c>
      <c r="C87" s="30">
        <v>5250</v>
      </c>
      <c r="D87" s="30"/>
      <c r="E87" s="30"/>
      <c r="F87" s="46">
        <v>10000</v>
      </c>
      <c r="G87" s="46"/>
      <c r="H87" s="30"/>
      <c r="I87" s="30"/>
      <c r="J87" s="46"/>
      <c r="K87" s="46"/>
      <c r="L87" s="30">
        <f t="shared" si="9"/>
        <v>15250</v>
      </c>
      <c r="M87" s="30">
        <v>2296.5</v>
      </c>
      <c r="N87" s="30">
        <f t="shared" si="3"/>
        <v>12953.5</v>
      </c>
      <c r="O87" s="40">
        <f t="shared" si="10"/>
        <v>8.4162217875895305E-4</v>
      </c>
    </row>
    <row r="88" spans="1:15" ht="15.95" customHeight="1" x14ac:dyDescent="0.2">
      <c r="A88" s="43" t="s">
        <v>130</v>
      </c>
      <c r="B88" s="31" t="s">
        <v>67</v>
      </c>
      <c r="C88" s="30">
        <v>1500</v>
      </c>
      <c r="D88" s="30"/>
      <c r="E88" s="30"/>
      <c r="F88" s="46">
        <f>4000+5000</f>
        <v>9000</v>
      </c>
      <c r="G88" s="46"/>
      <c r="H88" s="30"/>
      <c r="I88" s="30"/>
      <c r="J88" s="46"/>
      <c r="K88" s="46"/>
      <c r="L88" s="30">
        <f t="shared" si="9"/>
        <v>10500</v>
      </c>
      <c r="M88" s="30">
        <v>6139.07</v>
      </c>
      <c r="N88" s="30">
        <f t="shared" si="3"/>
        <v>4360.93</v>
      </c>
      <c r="O88" s="40">
        <f t="shared" si="10"/>
        <v>2.249848669259188E-3</v>
      </c>
    </row>
    <row r="89" spans="1:15" ht="15.95" customHeight="1" x14ac:dyDescent="0.2">
      <c r="A89" s="43" t="s">
        <v>131</v>
      </c>
      <c r="B89" s="31" t="s">
        <v>201</v>
      </c>
      <c r="C89" s="30">
        <v>3050</v>
      </c>
      <c r="D89" s="30"/>
      <c r="E89" s="30"/>
      <c r="F89" s="46"/>
      <c r="G89" s="46"/>
      <c r="H89" s="30"/>
      <c r="I89" s="30"/>
      <c r="J89" s="46"/>
      <c r="K89" s="46"/>
      <c r="L89" s="30">
        <f t="shared" si="9"/>
        <v>3050</v>
      </c>
      <c r="M89" s="30">
        <v>1544.1</v>
      </c>
      <c r="N89" s="30">
        <f t="shared" si="3"/>
        <v>1505.9</v>
      </c>
      <c r="O89" s="40">
        <f t="shared" si="10"/>
        <v>5.6588234540461536E-4</v>
      </c>
    </row>
    <row r="90" spans="1:15" ht="15.95" customHeight="1" x14ac:dyDescent="0.2">
      <c r="A90" s="43" t="s">
        <v>132</v>
      </c>
      <c r="B90" s="31" t="s">
        <v>68</v>
      </c>
      <c r="C90" s="30">
        <v>875</v>
      </c>
      <c r="D90" s="30"/>
      <c r="E90" s="30"/>
      <c r="F90" s="46"/>
      <c r="G90" s="46"/>
      <c r="H90" s="30"/>
      <c r="I90" s="30"/>
      <c r="J90" s="46"/>
      <c r="K90" s="46"/>
      <c r="L90" s="30">
        <f t="shared" si="9"/>
        <v>875</v>
      </c>
      <c r="M90" s="30">
        <v>35</v>
      </c>
      <c r="N90" s="30">
        <f t="shared" si="3"/>
        <v>840</v>
      </c>
      <c r="O90" s="40">
        <f t="shared" si="10"/>
        <v>1.2826813087987527E-5</v>
      </c>
    </row>
    <row r="91" spans="1:15" ht="15.95" customHeight="1" x14ac:dyDescent="0.2">
      <c r="A91" s="43" t="s">
        <v>133</v>
      </c>
      <c r="B91" s="31" t="s">
        <v>202</v>
      </c>
      <c r="C91" s="30">
        <v>5500</v>
      </c>
      <c r="D91" s="30"/>
      <c r="E91" s="30"/>
      <c r="F91" s="46">
        <v>2000</v>
      </c>
      <c r="G91" s="46"/>
      <c r="H91" s="30"/>
      <c r="I91" s="30"/>
      <c r="J91" s="46"/>
      <c r="K91" s="46"/>
      <c r="L91" s="30">
        <f t="shared" si="9"/>
        <v>7500</v>
      </c>
      <c r="M91" s="30">
        <v>324</v>
      </c>
      <c r="N91" s="30">
        <f t="shared" si="3"/>
        <v>7176</v>
      </c>
      <c r="O91" s="40">
        <f t="shared" si="10"/>
        <v>1.1873964115737025E-4</v>
      </c>
    </row>
    <row r="92" spans="1:15" ht="15.95" customHeight="1" x14ac:dyDescent="0.2">
      <c r="A92" s="43" t="s">
        <v>134</v>
      </c>
      <c r="B92" s="31" t="s">
        <v>69</v>
      </c>
      <c r="C92" s="30">
        <v>2700</v>
      </c>
      <c r="D92" s="30"/>
      <c r="E92" s="30"/>
      <c r="F92" s="46"/>
      <c r="G92" s="46"/>
      <c r="H92" s="30"/>
      <c r="I92" s="30"/>
      <c r="J92" s="46"/>
      <c r="K92" s="46"/>
      <c r="L92" s="30">
        <f t="shared" si="9"/>
        <v>2700</v>
      </c>
      <c r="M92" s="30">
        <v>290</v>
      </c>
      <c r="N92" s="30">
        <f t="shared" si="3"/>
        <v>2410</v>
      </c>
      <c r="O92" s="40">
        <f t="shared" si="10"/>
        <v>1.0627930844332522E-4</v>
      </c>
    </row>
    <row r="93" spans="1:15" ht="15.95" customHeight="1" x14ac:dyDescent="0.2">
      <c r="A93" s="43" t="s">
        <v>203</v>
      </c>
      <c r="B93" s="31" t="s">
        <v>204</v>
      </c>
      <c r="C93" s="30">
        <v>2800</v>
      </c>
      <c r="D93" s="30"/>
      <c r="E93" s="30"/>
      <c r="F93" s="46">
        <v>2000</v>
      </c>
      <c r="G93" s="46"/>
      <c r="H93" s="30"/>
      <c r="I93" s="30"/>
      <c r="J93" s="46"/>
      <c r="K93" s="46"/>
      <c r="L93" s="30">
        <f t="shared" si="9"/>
        <v>4800</v>
      </c>
      <c r="M93" s="30">
        <v>202</v>
      </c>
      <c r="N93" s="30">
        <f t="shared" si="3"/>
        <v>4598</v>
      </c>
      <c r="O93" s="40">
        <f t="shared" si="10"/>
        <v>7.402903553638516E-5</v>
      </c>
    </row>
    <row r="94" spans="1:15" ht="15.95" customHeight="1" x14ac:dyDescent="0.2">
      <c r="A94" s="43" t="s">
        <v>135</v>
      </c>
      <c r="B94" s="31" t="s">
        <v>70</v>
      </c>
      <c r="C94" s="30">
        <v>8500</v>
      </c>
      <c r="D94" s="30"/>
      <c r="E94" s="30"/>
      <c r="F94" s="46">
        <v>2000</v>
      </c>
      <c r="G94" s="46"/>
      <c r="H94" s="30"/>
      <c r="I94" s="30"/>
      <c r="J94" s="46"/>
      <c r="K94" s="46"/>
      <c r="L94" s="30">
        <f t="shared" si="9"/>
        <v>10500</v>
      </c>
      <c r="M94" s="30">
        <f>4271.94+232</f>
        <v>4503.9399999999996</v>
      </c>
      <c r="N94" s="30">
        <f t="shared" si="3"/>
        <v>5996.06</v>
      </c>
      <c r="O94" s="40">
        <f t="shared" si="10"/>
        <v>1.6506056154145868E-3</v>
      </c>
    </row>
    <row r="95" spans="1:15" ht="15.95" customHeight="1" x14ac:dyDescent="0.2">
      <c r="A95" s="43" t="s">
        <v>136</v>
      </c>
      <c r="B95" s="31" t="s">
        <v>205</v>
      </c>
      <c r="C95" s="30">
        <v>2000</v>
      </c>
      <c r="D95" s="30"/>
      <c r="E95" s="30"/>
      <c r="F95" s="46">
        <v>6000</v>
      </c>
      <c r="G95" s="46"/>
      <c r="H95" s="30"/>
      <c r="I95" s="30"/>
      <c r="J95" s="46"/>
      <c r="K95" s="46"/>
      <c r="L95" s="30">
        <f t="shared" si="9"/>
        <v>8000</v>
      </c>
      <c r="M95" s="30">
        <v>2253.87</v>
      </c>
      <c r="N95" s="30">
        <f t="shared" si="3"/>
        <v>5746.13</v>
      </c>
      <c r="O95" s="40">
        <f t="shared" si="10"/>
        <v>8.2599912041778415E-4</v>
      </c>
    </row>
    <row r="96" spans="1:15" ht="15.95" customHeight="1" x14ac:dyDescent="0.2">
      <c r="A96" s="43" t="s">
        <v>137</v>
      </c>
      <c r="B96" s="31" t="s">
        <v>71</v>
      </c>
      <c r="C96" s="30">
        <v>17500</v>
      </c>
      <c r="D96" s="30"/>
      <c r="E96" s="30"/>
      <c r="F96" s="46"/>
      <c r="G96" s="46"/>
      <c r="H96" s="30"/>
      <c r="I96" s="30"/>
      <c r="J96" s="46"/>
      <c r="K96" s="46"/>
      <c r="L96" s="30">
        <f t="shared" si="9"/>
        <v>17500</v>
      </c>
      <c r="M96" s="30">
        <v>6476.13</v>
      </c>
      <c r="N96" s="30">
        <f t="shared" si="3"/>
        <v>11023.869999999999</v>
      </c>
      <c r="O96" s="40">
        <f t="shared" si="10"/>
        <v>2.3733745441002476E-3</v>
      </c>
    </row>
    <row r="97" spans="1:15" ht="15.95" customHeight="1" x14ac:dyDescent="0.2">
      <c r="A97" s="43" t="s">
        <v>138</v>
      </c>
      <c r="B97" s="31" t="s">
        <v>206</v>
      </c>
      <c r="C97" s="30">
        <v>3000</v>
      </c>
      <c r="D97" s="30"/>
      <c r="E97" s="30"/>
      <c r="F97" s="46"/>
      <c r="G97" s="46"/>
      <c r="H97" s="30"/>
      <c r="I97" s="30"/>
      <c r="J97" s="46"/>
      <c r="K97" s="46"/>
      <c r="L97" s="30">
        <f t="shared" si="9"/>
        <v>3000</v>
      </c>
      <c r="M97" s="30">
        <v>1907.84</v>
      </c>
      <c r="N97" s="30">
        <f t="shared" si="3"/>
        <v>1092.1600000000001</v>
      </c>
      <c r="O97" s="40">
        <f t="shared" si="10"/>
        <v>6.9918591662246061E-4</v>
      </c>
    </row>
    <row r="98" spans="1:15" ht="15.95" customHeight="1" x14ac:dyDescent="0.2">
      <c r="A98" s="43" t="s">
        <v>139</v>
      </c>
      <c r="B98" s="31" t="s">
        <v>207</v>
      </c>
      <c r="C98" s="30">
        <v>1500</v>
      </c>
      <c r="D98" s="30"/>
      <c r="E98" s="30"/>
      <c r="F98" s="46">
        <v>2000</v>
      </c>
      <c r="G98" s="46"/>
      <c r="H98" s="30"/>
      <c r="I98" s="30"/>
      <c r="J98" s="46"/>
      <c r="K98" s="46"/>
      <c r="L98" s="30">
        <f t="shared" si="9"/>
        <v>3500</v>
      </c>
      <c r="M98" s="30">
        <v>169</v>
      </c>
      <c r="N98" s="30">
        <f t="shared" ref="N98:N135" si="11">L98-M98</f>
        <v>3331</v>
      </c>
      <c r="O98" s="40">
        <f t="shared" si="10"/>
        <v>6.1935183196282629E-5</v>
      </c>
    </row>
    <row r="99" spans="1:15" ht="15.95" customHeight="1" x14ac:dyDescent="0.2">
      <c r="A99" s="43" t="s">
        <v>140</v>
      </c>
      <c r="B99" s="31" t="s">
        <v>72</v>
      </c>
      <c r="C99" s="30">
        <v>210345</v>
      </c>
      <c r="D99" s="30"/>
      <c r="E99" s="30"/>
      <c r="F99" s="46"/>
      <c r="G99" s="46"/>
      <c r="H99" s="30"/>
      <c r="I99" s="30"/>
      <c r="J99" s="46"/>
      <c r="K99" s="46"/>
      <c r="L99" s="30">
        <f t="shared" si="9"/>
        <v>210345</v>
      </c>
      <c r="M99" s="30">
        <v>89968.29</v>
      </c>
      <c r="N99" s="30">
        <f t="shared" si="11"/>
        <v>120376.71</v>
      </c>
      <c r="O99" s="40">
        <f t="shared" si="10"/>
        <v>3.2971612562167352E-2</v>
      </c>
    </row>
    <row r="100" spans="1:15" ht="15.95" hidden="1" customHeight="1" x14ac:dyDescent="0.2">
      <c r="A100" s="43">
        <v>272</v>
      </c>
      <c r="B100" s="31" t="s">
        <v>208</v>
      </c>
      <c r="C100" s="30"/>
      <c r="D100" s="30"/>
      <c r="E100" s="30"/>
      <c r="F100" s="46"/>
      <c r="G100" s="46"/>
      <c r="H100" s="30"/>
      <c r="I100" s="30"/>
      <c r="J100" s="46"/>
      <c r="K100" s="46"/>
      <c r="L100" s="30">
        <f t="shared" si="9"/>
        <v>0</v>
      </c>
      <c r="M100" s="30">
        <v>0</v>
      </c>
      <c r="N100" s="30">
        <f t="shared" si="11"/>
        <v>0</v>
      </c>
      <c r="O100" s="40">
        <f t="shared" si="10"/>
        <v>0</v>
      </c>
    </row>
    <row r="101" spans="1:15" ht="15.95" hidden="1" customHeight="1" x14ac:dyDescent="0.2">
      <c r="A101" s="43" t="s">
        <v>141</v>
      </c>
      <c r="B101" s="31" t="s">
        <v>209</v>
      </c>
      <c r="C101" s="30"/>
      <c r="D101" s="30"/>
      <c r="E101" s="30"/>
      <c r="F101" s="46"/>
      <c r="G101" s="46"/>
      <c r="H101" s="30"/>
      <c r="I101" s="30"/>
      <c r="J101" s="46"/>
      <c r="K101" s="46"/>
      <c r="L101" s="30">
        <f t="shared" si="9"/>
        <v>0</v>
      </c>
      <c r="M101" s="30">
        <v>0</v>
      </c>
      <c r="N101" s="30">
        <f t="shared" si="11"/>
        <v>0</v>
      </c>
      <c r="O101" s="40">
        <f t="shared" si="10"/>
        <v>0</v>
      </c>
    </row>
    <row r="102" spans="1:15" ht="15.95" customHeight="1" x14ac:dyDescent="0.2">
      <c r="A102" s="43">
        <v>274</v>
      </c>
      <c r="B102" s="31" t="s">
        <v>73</v>
      </c>
      <c r="C102" s="30">
        <v>1500</v>
      </c>
      <c r="D102" s="30"/>
      <c r="E102" s="30"/>
      <c r="F102" s="46"/>
      <c r="G102" s="46"/>
      <c r="H102" s="30"/>
      <c r="I102" s="30"/>
      <c r="J102" s="46"/>
      <c r="K102" s="46"/>
      <c r="L102" s="30">
        <f t="shared" si="9"/>
        <v>1500</v>
      </c>
      <c r="M102" s="30">
        <v>237</v>
      </c>
      <c r="N102" s="30">
        <f t="shared" si="11"/>
        <v>1263</v>
      </c>
      <c r="O102" s="40">
        <f t="shared" si="10"/>
        <v>8.6855848624372686E-5</v>
      </c>
    </row>
    <row r="103" spans="1:15" ht="15.95" hidden="1" customHeight="1" x14ac:dyDescent="0.2">
      <c r="A103" s="43">
        <v>275</v>
      </c>
      <c r="B103" s="31" t="s">
        <v>210</v>
      </c>
      <c r="C103" s="30"/>
      <c r="D103" s="30"/>
      <c r="E103" s="30"/>
      <c r="F103" s="46"/>
      <c r="G103" s="46"/>
      <c r="H103" s="30"/>
      <c r="I103" s="30"/>
      <c r="J103" s="46"/>
      <c r="K103" s="46"/>
      <c r="L103" s="30">
        <f t="shared" si="9"/>
        <v>0</v>
      </c>
      <c r="M103" s="30">
        <v>0</v>
      </c>
      <c r="N103" s="30">
        <f t="shared" si="11"/>
        <v>0</v>
      </c>
      <c r="O103" s="40">
        <f t="shared" si="10"/>
        <v>0</v>
      </c>
    </row>
    <row r="104" spans="1:15" ht="15.95" customHeight="1" x14ac:dyDescent="0.2">
      <c r="A104" s="43">
        <v>279</v>
      </c>
      <c r="B104" s="31" t="s">
        <v>211</v>
      </c>
      <c r="C104" s="30">
        <v>750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9"/>
        <v>750</v>
      </c>
      <c r="M104" s="30">
        <v>0</v>
      </c>
      <c r="N104" s="30">
        <f t="shared" si="11"/>
        <v>750</v>
      </c>
      <c r="O104" s="40">
        <f t="shared" si="10"/>
        <v>0</v>
      </c>
    </row>
    <row r="105" spans="1:15" ht="15.95" hidden="1" customHeight="1" x14ac:dyDescent="0.2">
      <c r="A105" s="43">
        <v>281</v>
      </c>
      <c r="B105" s="31" t="s">
        <v>212</v>
      </c>
      <c r="C105" s="30"/>
      <c r="D105" s="30"/>
      <c r="E105" s="30"/>
      <c r="F105" s="46"/>
      <c r="G105" s="46"/>
      <c r="H105" s="30"/>
      <c r="I105" s="30"/>
      <c r="J105" s="46"/>
      <c r="K105" s="46"/>
      <c r="L105" s="30">
        <f t="shared" si="9"/>
        <v>0</v>
      </c>
      <c r="M105" s="30">
        <v>0</v>
      </c>
      <c r="N105" s="30">
        <f t="shared" si="11"/>
        <v>0</v>
      </c>
      <c r="O105" s="40">
        <f t="shared" si="10"/>
        <v>0</v>
      </c>
    </row>
    <row r="106" spans="1:15" ht="15.95" customHeight="1" x14ac:dyDescent="0.2">
      <c r="A106" s="43" t="s">
        <v>142</v>
      </c>
      <c r="B106" s="31" t="s">
        <v>213</v>
      </c>
      <c r="C106" s="30">
        <v>1800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9"/>
        <v>1800</v>
      </c>
      <c r="M106" s="30">
        <v>233.06</v>
      </c>
      <c r="N106" s="30">
        <f t="shared" si="11"/>
        <v>1566.94</v>
      </c>
      <c r="O106" s="40">
        <f t="shared" si="10"/>
        <v>8.5411915951039231E-5</v>
      </c>
    </row>
    <row r="107" spans="1:15" ht="15.95" customHeight="1" x14ac:dyDescent="0.2">
      <c r="A107" s="43" t="s">
        <v>143</v>
      </c>
      <c r="B107" s="31" t="s">
        <v>74</v>
      </c>
      <c r="C107" s="30">
        <v>8800</v>
      </c>
      <c r="D107" s="30">
        <v>15000</v>
      </c>
      <c r="E107" s="30"/>
      <c r="F107" s="46">
        <v>10000</v>
      </c>
      <c r="G107" s="46"/>
      <c r="H107" s="30"/>
      <c r="I107" s="30"/>
      <c r="J107" s="46"/>
      <c r="K107" s="46"/>
      <c r="L107" s="30">
        <f t="shared" si="9"/>
        <v>33800</v>
      </c>
      <c r="M107" s="30">
        <v>2189.8200000000002</v>
      </c>
      <c r="N107" s="30">
        <f t="shared" si="11"/>
        <v>31610.18</v>
      </c>
      <c r="O107" s="40">
        <f t="shared" si="10"/>
        <v>8.0252605246676706E-4</v>
      </c>
    </row>
    <row r="108" spans="1:15" ht="15.95" customHeight="1" x14ac:dyDescent="0.2">
      <c r="A108" s="43" t="s">
        <v>144</v>
      </c>
      <c r="B108" s="31" t="s">
        <v>75</v>
      </c>
      <c r="C108" s="30">
        <v>800821.67999999993</v>
      </c>
      <c r="D108" s="30"/>
      <c r="E108" s="30"/>
      <c r="F108" s="46">
        <v>106800</v>
      </c>
      <c r="G108" s="46">
        <v>7621</v>
      </c>
      <c r="H108" s="30"/>
      <c r="I108" s="30"/>
      <c r="J108" s="46"/>
      <c r="K108" s="46"/>
      <c r="L108" s="30">
        <f t="shared" si="9"/>
        <v>900000.67999999993</v>
      </c>
      <c r="M108" s="30">
        <v>0</v>
      </c>
      <c r="N108" s="30">
        <f t="shared" si="11"/>
        <v>900000.67999999993</v>
      </c>
      <c r="O108" s="40">
        <f t="shared" si="10"/>
        <v>0</v>
      </c>
    </row>
    <row r="109" spans="1:15" ht="15.95" customHeight="1" x14ac:dyDescent="0.2">
      <c r="A109" s="43">
        <v>286</v>
      </c>
      <c r="B109" s="31" t="s">
        <v>214</v>
      </c>
      <c r="C109" s="30">
        <v>1500</v>
      </c>
      <c r="D109" s="30"/>
      <c r="E109" s="30"/>
      <c r="F109" s="46">
        <v>3000</v>
      </c>
      <c r="G109" s="46"/>
      <c r="H109" s="30"/>
      <c r="I109" s="30"/>
      <c r="J109" s="46"/>
      <c r="K109" s="46"/>
      <c r="L109" s="30">
        <f t="shared" si="9"/>
        <v>4500</v>
      </c>
      <c r="M109" s="30">
        <v>457.8</v>
      </c>
      <c r="N109" s="30">
        <f t="shared" si="11"/>
        <v>4042.2</v>
      </c>
      <c r="O109" s="40">
        <f t="shared" si="10"/>
        <v>1.6777471519087685E-4</v>
      </c>
    </row>
    <row r="110" spans="1:15" ht="15.95" hidden="1" customHeight="1" x14ac:dyDescent="0.2">
      <c r="A110" s="43">
        <v>289</v>
      </c>
      <c r="B110" s="31" t="s">
        <v>215</v>
      </c>
      <c r="C110" s="30"/>
      <c r="D110" s="30"/>
      <c r="E110" s="30"/>
      <c r="F110" s="46"/>
      <c r="G110" s="46"/>
      <c r="H110" s="30"/>
      <c r="I110" s="30"/>
      <c r="J110" s="46"/>
      <c r="K110" s="46"/>
      <c r="L110" s="30">
        <f t="shared" si="9"/>
        <v>0</v>
      </c>
      <c r="M110" s="30">
        <v>0</v>
      </c>
      <c r="N110" s="30">
        <f t="shared" si="11"/>
        <v>0</v>
      </c>
      <c r="O110" s="40">
        <f t="shared" si="10"/>
        <v>0</v>
      </c>
    </row>
    <row r="111" spans="1:15" ht="15.95" customHeight="1" x14ac:dyDescent="0.2">
      <c r="A111" s="43" t="s">
        <v>145</v>
      </c>
      <c r="B111" s="31" t="s">
        <v>76</v>
      </c>
      <c r="C111" s="30">
        <v>6600</v>
      </c>
      <c r="D111" s="30"/>
      <c r="E111" s="30"/>
      <c r="F111" s="46">
        <v>5000</v>
      </c>
      <c r="G111" s="46"/>
      <c r="H111" s="30"/>
      <c r="I111" s="30"/>
      <c r="J111" s="46"/>
      <c r="K111" s="46"/>
      <c r="L111" s="30">
        <f t="shared" si="9"/>
        <v>11600</v>
      </c>
      <c r="M111" s="30">
        <v>3935.96</v>
      </c>
      <c r="N111" s="30">
        <f t="shared" si="11"/>
        <v>7664.04</v>
      </c>
      <c r="O111" s="40">
        <f t="shared" si="10"/>
        <v>1.4424520926227253E-3</v>
      </c>
    </row>
    <row r="112" spans="1:15" ht="15.95" customHeight="1" x14ac:dyDescent="0.2">
      <c r="A112" s="43" t="s">
        <v>146</v>
      </c>
      <c r="B112" s="31" t="s">
        <v>216</v>
      </c>
      <c r="C112" s="30">
        <v>2000</v>
      </c>
      <c r="D112" s="30"/>
      <c r="E112" s="30"/>
      <c r="F112" s="46">
        <v>6000</v>
      </c>
      <c r="G112" s="46"/>
      <c r="H112" s="30"/>
      <c r="I112" s="30"/>
      <c r="J112" s="46"/>
      <c r="K112" s="46"/>
      <c r="L112" s="30">
        <f t="shared" si="9"/>
        <v>8000</v>
      </c>
      <c r="M112" s="30">
        <v>2856.13</v>
      </c>
      <c r="N112" s="30">
        <f t="shared" si="11"/>
        <v>5143.87</v>
      </c>
      <c r="O112" s="40">
        <f t="shared" si="10"/>
        <v>1.0467155904283947E-3</v>
      </c>
    </row>
    <row r="113" spans="1:15" ht="15.95" customHeight="1" x14ac:dyDescent="0.2">
      <c r="A113" s="43" t="s">
        <v>147</v>
      </c>
      <c r="B113" s="31" t="s">
        <v>77</v>
      </c>
      <c r="C113" s="30">
        <v>115251.9</v>
      </c>
      <c r="D113" s="30">
        <f>4500+21000+10000</f>
        <v>35500</v>
      </c>
      <c r="E113" s="30"/>
      <c r="F113" s="46"/>
      <c r="G113" s="46">
        <v>3150</v>
      </c>
      <c r="H113" s="30"/>
      <c r="I113" s="30"/>
      <c r="J113" s="46"/>
      <c r="K113" s="46"/>
      <c r="L113" s="30">
        <f t="shared" si="9"/>
        <v>147601.9</v>
      </c>
      <c r="M113" s="30">
        <v>97204.06</v>
      </c>
      <c r="N113" s="30">
        <f t="shared" si="11"/>
        <v>50397.84</v>
      </c>
      <c r="O113" s="40">
        <f t="shared" si="10"/>
        <v>3.5623380257529279E-2</v>
      </c>
    </row>
    <row r="114" spans="1:15" ht="15.95" customHeight="1" x14ac:dyDescent="0.2">
      <c r="A114" s="43" t="s">
        <v>148</v>
      </c>
      <c r="B114" s="31" t="s">
        <v>78</v>
      </c>
      <c r="C114" s="30">
        <v>2000</v>
      </c>
      <c r="D114" s="30"/>
      <c r="E114" s="30"/>
      <c r="F114" s="46">
        <v>3000</v>
      </c>
      <c r="G114" s="46"/>
      <c r="H114" s="30"/>
      <c r="I114" s="30"/>
      <c r="J114" s="46"/>
      <c r="K114" s="46"/>
      <c r="L114" s="30">
        <f t="shared" si="9"/>
        <v>5000</v>
      </c>
      <c r="M114" s="30">
        <v>0</v>
      </c>
      <c r="N114" s="30">
        <f t="shared" si="11"/>
        <v>5000</v>
      </c>
      <c r="O114" s="40">
        <f t="shared" si="10"/>
        <v>0</v>
      </c>
    </row>
    <row r="115" spans="1:15" ht="15.95" customHeight="1" x14ac:dyDescent="0.2">
      <c r="A115" s="43" t="s">
        <v>149</v>
      </c>
      <c r="B115" s="31" t="s">
        <v>217</v>
      </c>
      <c r="C115" s="30">
        <v>9500</v>
      </c>
      <c r="D115" s="30">
        <v>20000</v>
      </c>
      <c r="E115" s="30"/>
      <c r="F115" s="46">
        <v>5000</v>
      </c>
      <c r="G115" s="46"/>
      <c r="H115" s="30"/>
      <c r="I115" s="30"/>
      <c r="J115" s="46"/>
      <c r="K115" s="46"/>
      <c r="L115" s="30">
        <f t="shared" si="9"/>
        <v>34500</v>
      </c>
      <c r="M115" s="30">
        <v>441.79</v>
      </c>
      <c r="N115" s="30">
        <f t="shared" si="11"/>
        <v>34058.21</v>
      </c>
      <c r="O115" s="40">
        <f t="shared" si="10"/>
        <v>1.6190736440405742E-4</v>
      </c>
    </row>
    <row r="116" spans="1:15" ht="15.95" customHeight="1" x14ac:dyDescent="0.2">
      <c r="A116" s="43" t="s">
        <v>150</v>
      </c>
      <c r="B116" s="31" t="s">
        <v>79</v>
      </c>
      <c r="C116" s="30">
        <v>101000</v>
      </c>
      <c r="D116" s="30"/>
      <c r="E116" s="30"/>
      <c r="F116" s="46">
        <v>358296.72</v>
      </c>
      <c r="G116" s="46"/>
      <c r="H116" s="30"/>
      <c r="I116" s="30">
        <v>136000</v>
      </c>
      <c r="J116" s="46"/>
      <c r="K116" s="46">
        <v>75000</v>
      </c>
      <c r="L116" s="30">
        <f t="shared" si="9"/>
        <v>248296.71999999997</v>
      </c>
      <c r="M116" s="30">
        <v>5316.97</v>
      </c>
      <c r="N116" s="30">
        <f t="shared" si="11"/>
        <v>242979.74999999997</v>
      </c>
      <c r="O116" s="40">
        <f t="shared" si="10"/>
        <v>1.9485651538410584E-3</v>
      </c>
    </row>
    <row r="117" spans="1:15" ht="15.95" customHeight="1" x14ac:dyDescent="0.2">
      <c r="A117" s="43" t="s">
        <v>151</v>
      </c>
      <c r="B117" s="31" t="s">
        <v>80</v>
      </c>
      <c r="C117" s="30">
        <v>11500</v>
      </c>
      <c r="D117" s="30"/>
      <c r="E117" s="30"/>
      <c r="F117" s="46">
        <v>25000</v>
      </c>
      <c r="G117" s="46"/>
      <c r="H117" s="30"/>
      <c r="I117" s="30"/>
      <c r="J117" s="46"/>
      <c r="K117" s="46"/>
      <c r="L117" s="30">
        <f t="shared" si="9"/>
        <v>36500</v>
      </c>
      <c r="M117" s="30">
        <v>6096.77</v>
      </c>
      <c r="N117" s="30">
        <f t="shared" si="11"/>
        <v>30403.23</v>
      </c>
      <c r="O117" s="40">
        <f t="shared" si="10"/>
        <v>2.2343465494414206E-3</v>
      </c>
    </row>
    <row r="118" spans="1:15" ht="15.95" customHeight="1" x14ac:dyDescent="0.2">
      <c r="A118" s="43"/>
      <c r="B118" s="31"/>
      <c r="C118" s="30"/>
      <c r="D118" s="30"/>
      <c r="E118" s="30"/>
      <c r="F118" s="46"/>
      <c r="G118" s="46"/>
      <c r="H118" s="30"/>
      <c r="I118" s="30"/>
      <c r="J118" s="46"/>
      <c r="K118" s="46"/>
      <c r="L118" s="30"/>
      <c r="M118" s="30"/>
      <c r="N118" s="30"/>
      <c r="O118" s="40"/>
    </row>
    <row r="119" spans="1:15" ht="15.95" customHeight="1" x14ac:dyDescent="0.2">
      <c r="A119" s="43"/>
      <c r="B119" s="31"/>
      <c r="C119" s="30"/>
      <c r="D119" s="30"/>
      <c r="E119" s="30"/>
      <c r="F119" s="46"/>
      <c r="G119" s="46"/>
      <c r="H119" s="30"/>
      <c r="I119" s="30"/>
      <c r="J119" s="46"/>
      <c r="K119" s="46"/>
      <c r="L119" s="30"/>
      <c r="M119" s="30"/>
      <c r="N119" s="30"/>
      <c r="O119" s="40"/>
    </row>
    <row r="120" spans="1:15" ht="15.95" customHeight="1" x14ac:dyDescent="0.2">
      <c r="A120" s="43"/>
      <c r="B120" s="31"/>
      <c r="C120" s="30"/>
      <c r="D120" s="30"/>
      <c r="E120" s="30"/>
      <c r="F120" s="46"/>
      <c r="G120" s="46"/>
      <c r="H120" s="30"/>
      <c r="I120" s="30"/>
      <c r="J120" s="46"/>
      <c r="K120" s="46"/>
      <c r="L120" s="30"/>
      <c r="M120" s="30"/>
      <c r="N120" s="30"/>
      <c r="O120" s="40"/>
    </row>
    <row r="121" spans="1:15" ht="15.95" customHeight="1" x14ac:dyDescent="0.25">
      <c r="A121" s="41">
        <v>3</v>
      </c>
      <c r="B121" s="42" t="s">
        <v>81</v>
      </c>
      <c r="C121" s="28"/>
      <c r="D121" s="30"/>
      <c r="E121" s="30"/>
      <c r="F121" s="46"/>
      <c r="G121" s="46"/>
      <c r="H121" s="30"/>
      <c r="I121" s="30"/>
      <c r="J121" s="46"/>
      <c r="K121" s="46"/>
      <c r="L121" s="30"/>
      <c r="M121" s="30"/>
      <c r="N121" s="30"/>
      <c r="O121" s="40"/>
    </row>
    <row r="122" spans="1:15" ht="15.95" customHeight="1" x14ac:dyDescent="0.2">
      <c r="A122" s="44" t="s">
        <v>218</v>
      </c>
      <c r="B122" s="45" t="s">
        <v>219</v>
      </c>
      <c r="C122" s="46">
        <v>10000</v>
      </c>
      <c r="D122" s="30"/>
      <c r="E122" s="30"/>
      <c r="F122" s="46">
        <f>20000+10000</f>
        <v>30000</v>
      </c>
      <c r="G122" s="46"/>
      <c r="H122" s="30"/>
      <c r="I122" s="30"/>
      <c r="J122" s="46"/>
      <c r="K122" s="46"/>
      <c r="L122" s="30">
        <f t="shared" ref="L122:L135" si="12">C122+D122-E122+F122-G122+J122-K122</f>
        <v>40000</v>
      </c>
      <c r="M122" s="30">
        <v>1299</v>
      </c>
      <c r="N122" s="30">
        <f t="shared" si="11"/>
        <v>38701</v>
      </c>
      <c r="O122" s="40">
        <f>M122/$M$136</f>
        <v>4.7605800575130852E-4</v>
      </c>
    </row>
    <row r="123" spans="1:15" ht="15.95" hidden="1" customHeight="1" x14ac:dyDescent="0.2">
      <c r="A123" s="44" t="s">
        <v>82</v>
      </c>
      <c r="B123" s="45" t="s">
        <v>220</v>
      </c>
      <c r="C123" s="46">
        <v>0</v>
      </c>
      <c r="D123" s="30"/>
      <c r="E123" s="30"/>
      <c r="F123" s="46"/>
      <c r="G123" s="46"/>
      <c r="H123" s="30"/>
      <c r="I123" s="30"/>
      <c r="J123" s="46"/>
      <c r="K123" s="46"/>
      <c r="L123" s="30">
        <f t="shared" si="12"/>
        <v>0</v>
      </c>
      <c r="M123" s="30">
        <v>0</v>
      </c>
      <c r="N123" s="30">
        <f t="shared" si="11"/>
        <v>0</v>
      </c>
      <c r="O123" s="40">
        <f>M123/$M$136</f>
        <v>0</v>
      </c>
    </row>
    <row r="124" spans="1:15" ht="15.95" customHeight="1" x14ac:dyDescent="0.2">
      <c r="A124" s="44" t="s">
        <v>221</v>
      </c>
      <c r="B124" s="45" t="s">
        <v>222</v>
      </c>
      <c r="C124" s="46">
        <v>54035</v>
      </c>
      <c r="D124" s="30"/>
      <c r="E124" s="30"/>
      <c r="F124" s="46">
        <v>120000</v>
      </c>
      <c r="G124" s="46"/>
      <c r="H124" s="30"/>
      <c r="I124" s="30"/>
      <c r="J124" s="46">
        <v>25000</v>
      </c>
      <c r="K124" s="46"/>
      <c r="L124" s="30">
        <f t="shared" si="12"/>
        <v>199035</v>
      </c>
      <c r="M124" s="30">
        <f>35472.21</f>
        <v>35472.21</v>
      </c>
      <c r="N124" s="30">
        <f t="shared" si="11"/>
        <v>163562.79</v>
      </c>
      <c r="O124" s="40">
        <f>M124/$M$136</f>
        <v>1.2999868785366915E-2</v>
      </c>
    </row>
    <row r="125" spans="1:15" ht="15.95" customHeight="1" x14ac:dyDescent="0.2">
      <c r="A125" s="44" t="s">
        <v>223</v>
      </c>
      <c r="B125" s="45" t="s">
        <v>224</v>
      </c>
      <c r="C125" s="46">
        <v>1500</v>
      </c>
      <c r="D125" s="30"/>
      <c r="E125" s="30"/>
      <c r="F125" s="46"/>
      <c r="G125" s="46"/>
      <c r="H125" s="30"/>
      <c r="I125" s="30"/>
      <c r="J125" s="46"/>
      <c r="K125" s="46"/>
      <c r="L125" s="30">
        <f t="shared" si="12"/>
        <v>1500</v>
      </c>
      <c r="M125" s="30">
        <v>0</v>
      </c>
      <c r="N125" s="30">
        <f t="shared" si="11"/>
        <v>1500</v>
      </c>
      <c r="O125" s="40">
        <f>M125/$M$136</f>
        <v>0</v>
      </c>
    </row>
    <row r="126" spans="1:15" ht="15.95" customHeight="1" x14ac:dyDescent="0.2">
      <c r="A126" s="44">
        <v>328</v>
      </c>
      <c r="B126" s="45" t="s">
        <v>254</v>
      </c>
      <c r="C126" s="46">
        <v>0</v>
      </c>
      <c r="D126" s="30">
        <v>3000</v>
      </c>
      <c r="E126" s="30"/>
      <c r="F126" s="46"/>
      <c r="G126" s="46"/>
      <c r="H126" s="30"/>
      <c r="I126" s="30"/>
      <c r="J126" s="46"/>
      <c r="K126" s="46"/>
      <c r="L126" s="30">
        <f t="shared" si="12"/>
        <v>3000</v>
      </c>
      <c r="M126" s="30">
        <v>2720</v>
      </c>
      <c r="N126" s="30">
        <f t="shared" si="11"/>
        <v>280</v>
      </c>
      <c r="O126" s="40">
        <f>+M126/M136</f>
        <v>9.9682661712360214E-4</v>
      </c>
    </row>
    <row r="127" spans="1:15" ht="15.95" customHeight="1" x14ac:dyDescent="0.2">
      <c r="A127" s="44" t="s">
        <v>225</v>
      </c>
      <c r="B127" s="45" t="s">
        <v>226</v>
      </c>
      <c r="C127" s="46">
        <v>14300</v>
      </c>
      <c r="D127" s="30">
        <f>3000+16000</f>
        <v>19000</v>
      </c>
      <c r="E127" s="30"/>
      <c r="F127" s="46">
        <v>42000</v>
      </c>
      <c r="G127" s="46"/>
      <c r="H127" s="30"/>
      <c r="I127" s="30"/>
      <c r="J127" s="46">
        <v>50000</v>
      </c>
      <c r="K127" s="46"/>
      <c r="L127" s="30">
        <f t="shared" si="12"/>
        <v>125300</v>
      </c>
      <c r="M127" s="30">
        <v>8536.8799999999992</v>
      </c>
      <c r="N127" s="30">
        <f t="shared" si="11"/>
        <v>116763.12</v>
      </c>
      <c r="O127" s="40">
        <f>M127/$M$136</f>
        <v>3.1285989747022558E-3</v>
      </c>
    </row>
    <row r="128" spans="1:15" ht="15.95" hidden="1" customHeight="1" x14ac:dyDescent="0.2">
      <c r="A128" s="44" t="s">
        <v>227</v>
      </c>
      <c r="B128" s="45" t="s">
        <v>228</v>
      </c>
      <c r="C128" s="46">
        <v>0</v>
      </c>
      <c r="D128" s="30"/>
      <c r="E128" s="30"/>
      <c r="F128" s="46"/>
      <c r="G128" s="46"/>
      <c r="H128" s="30"/>
      <c r="I128" s="30"/>
      <c r="J128" s="46"/>
      <c r="K128" s="46"/>
      <c r="L128" s="30">
        <f t="shared" si="12"/>
        <v>0</v>
      </c>
      <c r="M128" s="30">
        <v>0</v>
      </c>
      <c r="N128" s="30">
        <f t="shared" si="11"/>
        <v>0</v>
      </c>
      <c r="O128" s="40">
        <f>M128/$M$136</f>
        <v>0</v>
      </c>
    </row>
    <row r="129" spans="1:15" ht="15.95" customHeight="1" x14ac:dyDescent="0.2">
      <c r="A129" s="44"/>
      <c r="B129" s="45"/>
      <c r="C129" s="46"/>
      <c r="D129" s="30"/>
      <c r="E129" s="30"/>
      <c r="F129" s="46"/>
      <c r="G129" s="46"/>
      <c r="H129" s="30"/>
      <c r="I129" s="30"/>
      <c r="J129" s="46"/>
      <c r="K129" s="46"/>
      <c r="L129" s="30"/>
      <c r="M129" s="30"/>
      <c r="N129" s="30"/>
      <c r="O129" s="40"/>
    </row>
    <row r="130" spans="1:15" ht="15.95" customHeight="1" x14ac:dyDescent="0.2">
      <c r="A130" s="43"/>
      <c r="B130" s="31"/>
      <c r="C130" s="30"/>
      <c r="D130" s="30"/>
      <c r="E130" s="30"/>
      <c r="F130" s="46"/>
      <c r="G130" s="46"/>
      <c r="H130" s="30"/>
      <c r="I130" s="30"/>
      <c r="J130" s="46"/>
      <c r="K130" s="46"/>
      <c r="L130" s="30"/>
      <c r="M130" s="30"/>
      <c r="N130" s="30"/>
      <c r="O130" s="40"/>
    </row>
    <row r="131" spans="1:15" ht="15.95" customHeight="1" x14ac:dyDescent="0.25">
      <c r="A131" s="41">
        <v>4</v>
      </c>
      <c r="B131" s="42" t="s">
        <v>83</v>
      </c>
      <c r="C131" s="28"/>
      <c r="D131" s="30"/>
      <c r="E131" s="30"/>
      <c r="F131" s="46"/>
      <c r="G131" s="46"/>
      <c r="H131" s="30"/>
      <c r="I131" s="30"/>
      <c r="J131" s="46"/>
      <c r="K131" s="46"/>
      <c r="L131" s="30"/>
      <c r="M131" s="30"/>
      <c r="N131" s="30"/>
      <c r="O131" s="40"/>
    </row>
    <row r="132" spans="1:15" ht="15.95" customHeight="1" x14ac:dyDescent="0.2">
      <c r="A132" s="43" t="s">
        <v>229</v>
      </c>
      <c r="B132" s="31" t="s">
        <v>84</v>
      </c>
      <c r="C132" s="30">
        <v>140900</v>
      </c>
      <c r="D132" s="30"/>
      <c r="E132" s="30"/>
      <c r="F132" s="46">
        <v>180620.2</v>
      </c>
      <c r="G132" s="46"/>
      <c r="H132" s="30"/>
      <c r="I132" s="30"/>
      <c r="J132" s="46"/>
      <c r="K132" s="46"/>
      <c r="L132" s="30">
        <f t="shared" si="12"/>
        <v>321520.2</v>
      </c>
      <c r="M132" s="30">
        <v>149484.41</v>
      </c>
      <c r="N132" s="30">
        <f t="shared" si="11"/>
        <v>172035.79</v>
      </c>
      <c r="O132" s="40">
        <f>M132/$M$136</f>
        <v>5.4783102475374101E-2</v>
      </c>
    </row>
    <row r="133" spans="1:15" ht="15.95" customHeight="1" x14ac:dyDescent="0.2">
      <c r="A133" s="43" t="s">
        <v>230</v>
      </c>
      <c r="B133" s="31" t="s">
        <v>231</v>
      </c>
      <c r="C133" s="30">
        <v>7170</v>
      </c>
      <c r="D133" s="30"/>
      <c r="E133" s="30"/>
      <c r="F133" s="30"/>
      <c r="G133" s="30"/>
      <c r="H133" s="30"/>
      <c r="I133" s="30"/>
      <c r="J133" s="46"/>
      <c r="K133" s="46"/>
      <c r="L133" s="30">
        <f t="shared" si="12"/>
        <v>7170</v>
      </c>
      <c r="M133" s="30">
        <v>3718.87</v>
      </c>
      <c r="N133" s="30">
        <f t="shared" si="11"/>
        <v>3451.13</v>
      </c>
      <c r="O133" s="40">
        <f>M133/$M$136</f>
        <v>1.3628928682435479E-3</v>
      </c>
    </row>
    <row r="134" spans="1:15" ht="15.95" customHeight="1" x14ac:dyDescent="0.2">
      <c r="A134" s="43" t="s">
        <v>232</v>
      </c>
      <c r="B134" s="31" t="s">
        <v>233</v>
      </c>
      <c r="C134" s="30">
        <v>163700</v>
      </c>
      <c r="D134" s="30"/>
      <c r="E134" s="30"/>
      <c r="F134" s="30"/>
      <c r="G134" s="30"/>
      <c r="H134" s="30"/>
      <c r="I134" s="30"/>
      <c r="J134" s="46"/>
      <c r="K134" s="46"/>
      <c r="L134" s="30">
        <f t="shared" si="12"/>
        <v>163700</v>
      </c>
      <c r="M134" s="30">
        <v>120013</v>
      </c>
      <c r="N134" s="30">
        <f t="shared" si="11"/>
        <v>43687</v>
      </c>
      <c r="O134" s="40">
        <f>M134/$M$136</f>
        <v>4.3982409117961349E-2</v>
      </c>
    </row>
    <row r="135" spans="1:15" ht="15.95" customHeight="1" thickBot="1" x14ac:dyDescent="0.25">
      <c r="A135" s="43" t="s">
        <v>234</v>
      </c>
      <c r="B135" s="31" t="s">
        <v>235</v>
      </c>
      <c r="C135" s="30">
        <v>8750</v>
      </c>
      <c r="D135" s="30"/>
      <c r="E135" s="30"/>
      <c r="F135" s="30"/>
      <c r="G135" s="30"/>
      <c r="H135" s="30"/>
      <c r="I135" s="30"/>
      <c r="J135" s="46"/>
      <c r="K135" s="46"/>
      <c r="L135" s="30">
        <f t="shared" si="12"/>
        <v>8750</v>
      </c>
      <c r="M135" s="30">
        <v>1924.74</v>
      </c>
      <c r="N135" s="30">
        <f t="shared" si="11"/>
        <v>6825.26</v>
      </c>
      <c r="O135" s="40">
        <f>M135/$M$136</f>
        <v>7.0537943494208897E-4</v>
      </c>
    </row>
    <row r="136" spans="1:15" ht="18" customHeight="1" thickBot="1" x14ac:dyDescent="0.3">
      <c r="A136" s="34"/>
      <c r="B136" s="35" t="s">
        <v>94</v>
      </c>
      <c r="C136" s="36">
        <f t="shared" ref="C136:N136" si="13">SUM(C31:C135)</f>
        <v>6416776.6099999994</v>
      </c>
      <c r="D136" s="36">
        <f t="shared" si="13"/>
        <v>129000</v>
      </c>
      <c r="E136" s="36">
        <f t="shared" si="13"/>
        <v>129000</v>
      </c>
      <c r="F136" s="36">
        <f t="shared" si="13"/>
        <v>1468277.92</v>
      </c>
      <c r="G136" s="36">
        <f t="shared" si="13"/>
        <v>1468277.92</v>
      </c>
      <c r="H136" s="36">
        <f t="shared" si="13"/>
        <v>136000</v>
      </c>
      <c r="I136" s="36">
        <f t="shared" si="13"/>
        <v>136000</v>
      </c>
      <c r="J136" s="71">
        <f t="shared" si="13"/>
        <v>100000</v>
      </c>
      <c r="K136" s="71">
        <f t="shared" si="13"/>
        <v>100000</v>
      </c>
      <c r="L136" s="36">
        <f t="shared" si="13"/>
        <v>6416776.6100000003</v>
      </c>
      <c r="M136" s="36">
        <f t="shared" si="13"/>
        <v>2728659.0799999996</v>
      </c>
      <c r="N136" s="36">
        <f t="shared" si="13"/>
        <v>3688117.53</v>
      </c>
      <c r="O136" s="47">
        <v>1</v>
      </c>
    </row>
    <row r="137" spans="1:15" x14ac:dyDescent="0.2">
      <c r="A137" s="48"/>
      <c r="B137" s="85"/>
      <c r="C137" s="88"/>
      <c r="D137" s="86"/>
      <c r="E137" s="49"/>
      <c r="F137" s="49"/>
      <c r="G137" s="49"/>
      <c r="H137" s="49"/>
      <c r="I137" s="49"/>
      <c r="J137" s="72"/>
      <c r="K137" s="72"/>
      <c r="L137" s="49"/>
      <c r="M137" s="49"/>
      <c r="N137" s="49"/>
    </row>
    <row r="138" spans="1:15" ht="15.75" thickBot="1" x14ac:dyDescent="0.25">
      <c r="B138" s="87"/>
      <c r="C138" s="87"/>
      <c r="D138" s="87"/>
      <c r="E138" s="12"/>
      <c r="F138" s="4"/>
      <c r="L138" s="15"/>
      <c r="M138" s="4"/>
    </row>
    <row r="139" spans="1:15" ht="15.75" x14ac:dyDescent="0.25">
      <c r="A139" s="1" t="s">
        <v>85</v>
      </c>
      <c r="B139" s="2"/>
      <c r="C139" s="3"/>
      <c r="D139" s="4"/>
      <c r="E139" s="4"/>
      <c r="F139" s="4"/>
      <c r="G139" s="4"/>
      <c r="H139" s="4"/>
      <c r="I139" s="4"/>
      <c r="J139" s="73"/>
      <c r="K139" s="73"/>
      <c r="L139" s="4"/>
      <c r="M139" s="4"/>
    </row>
    <row r="140" spans="1:15" ht="15.75" x14ac:dyDescent="0.25">
      <c r="A140" s="5" t="s">
        <v>2</v>
      </c>
      <c r="B140" s="6"/>
      <c r="C140" s="7"/>
      <c r="D140" s="4"/>
      <c r="E140" s="4"/>
      <c r="F140" s="4"/>
      <c r="G140" s="4"/>
      <c r="H140" s="4"/>
      <c r="I140" s="4"/>
      <c r="J140" s="73"/>
      <c r="K140" s="73"/>
      <c r="L140" s="4"/>
      <c r="M140" s="4"/>
    </row>
    <row r="141" spans="1:15" ht="5.0999999999999996" customHeight="1" thickBot="1" x14ac:dyDescent="0.25">
      <c r="A141" s="8"/>
      <c r="B141" s="9"/>
      <c r="C141" s="10"/>
      <c r="D141" s="4"/>
      <c r="E141" s="4"/>
      <c r="F141" s="4"/>
      <c r="G141" s="4"/>
      <c r="H141" s="4"/>
      <c r="I141" s="4"/>
      <c r="J141" s="73"/>
      <c r="K141" s="73"/>
      <c r="L141" s="4"/>
      <c r="M141" s="4"/>
    </row>
    <row r="142" spans="1:15" ht="6.95" customHeight="1" x14ac:dyDescent="0.2">
      <c r="A142" s="51"/>
      <c r="B142" s="52"/>
      <c r="C142" s="53"/>
      <c r="D142" s="4"/>
      <c r="E142" s="4"/>
      <c r="F142" s="4"/>
      <c r="G142" s="4"/>
      <c r="H142" s="4"/>
      <c r="I142" s="4"/>
      <c r="J142" s="73"/>
      <c r="K142" s="73"/>
      <c r="L142" s="4"/>
      <c r="M142" s="4"/>
    </row>
    <row r="143" spans="1:15" x14ac:dyDescent="0.2">
      <c r="A143" s="54" t="s">
        <v>86</v>
      </c>
      <c r="B143" s="55"/>
      <c r="C143" s="56"/>
      <c r="D143" s="4"/>
      <c r="E143" s="4"/>
      <c r="F143" s="4"/>
      <c r="G143" s="4"/>
      <c r="H143" s="4"/>
      <c r="I143" s="4"/>
      <c r="J143" s="73"/>
      <c r="K143" s="73"/>
      <c r="L143" s="4"/>
    </row>
    <row r="144" spans="1:15" x14ac:dyDescent="0.2">
      <c r="A144" s="57" t="s">
        <v>236</v>
      </c>
      <c r="B144" s="55"/>
      <c r="C144" s="76">
        <f>260706.83+1025276.81</f>
        <v>1285983.6400000001</v>
      </c>
      <c r="D144" s="49"/>
      <c r="E144" s="4"/>
      <c r="F144" s="4"/>
      <c r="G144" s="4"/>
      <c r="H144" s="4"/>
      <c r="I144" s="4"/>
      <c r="J144" s="73"/>
      <c r="K144" s="73"/>
      <c r="L144" s="4"/>
    </row>
    <row r="145" spans="1:12" x14ac:dyDescent="0.2">
      <c r="A145" s="57" t="s">
        <v>256</v>
      </c>
      <c r="B145" s="55"/>
      <c r="C145" s="76">
        <f>50710.94-4603.19-39.95</f>
        <v>46067.8</v>
      </c>
      <c r="D145" s="49"/>
      <c r="E145" s="4"/>
      <c r="F145" s="4"/>
      <c r="G145" s="4"/>
      <c r="H145" s="4"/>
      <c r="I145" s="4"/>
      <c r="J145" s="73"/>
      <c r="K145" s="73"/>
      <c r="L145" s="4"/>
    </row>
    <row r="146" spans="1:12" x14ac:dyDescent="0.2">
      <c r="A146" s="97" t="s">
        <v>267</v>
      </c>
      <c r="B146" s="55"/>
      <c r="C146" s="76">
        <v>-23005.8</v>
      </c>
      <c r="D146" s="49"/>
      <c r="E146" s="4"/>
      <c r="F146" s="4"/>
      <c r="G146" s="4"/>
      <c r="H146" s="4"/>
      <c r="I146" s="4"/>
      <c r="J146" s="73"/>
      <c r="K146" s="73"/>
      <c r="L146" s="4"/>
    </row>
    <row r="147" spans="1:12" x14ac:dyDescent="0.2">
      <c r="A147" s="97" t="s">
        <v>277</v>
      </c>
      <c r="B147" s="55"/>
      <c r="C147" s="76">
        <f>-22081.94-37993.66</f>
        <v>-60075.600000000006</v>
      </c>
      <c r="D147" s="49"/>
      <c r="E147" s="4"/>
      <c r="F147" s="4"/>
      <c r="G147" s="4"/>
      <c r="H147" s="4"/>
      <c r="I147" s="4"/>
      <c r="J147" s="73"/>
      <c r="K147" s="73"/>
      <c r="L147" s="4"/>
    </row>
    <row r="148" spans="1:12" x14ac:dyDescent="0.2">
      <c r="A148" s="57" t="s">
        <v>87</v>
      </c>
      <c r="B148" s="55"/>
      <c r="C148" s="76">
        <f>M26</f>
        <v>3589576.2099999995</v>
      </c>
      <c r="D148" s="4"/>
      <c r="E148" s="4"/>
      <c r="F148" s="4"/>
      <c r="G148" s="4"/>
      <c r="H148" s="4"/>
      <c r="I148" s="4"/>
      <c r="J148" s="73"/>
      <c r="K148" s="73"/>
      <c r="L148" s="4"/>
    </row>
    <row r="149" spans="1:12" x14ac:dyDescent="0.2">
      <c r="A149" s="97" t="s">
        <v>280</v>
      </c>
      <c r="B149" s="55"/>
      <c r="C149" s="76">
        <v>-20787.37</v>
      </c>
      <c r="D149" s="4"/>
      <c r="E149" s="4"/>
      <c r="F149" s="4"/>
      <c r="G149" s="4"/>
      <c r="H149" s="4"/>
      <c r="I149" s="4"/>
      <c r="J149" s="73"/>
      <c r="K149" s="73"/>
      <c r="L149" s="4"/>
    </row>
    <row r="150" spans="1:12" x14ac:dyDescent="0.2">
      <c r="A150" s="57" t="s">
        <v>88</v>
      </c>
      <c r="B150" s="55"/>
      <c r="C150" s="77">
        <f>-M136-39.95</f>
        <v>-2728699.03</v>
      </c>
      <c r="D150" s="4"/>
      <c r="E150" s="4"/>
      <c r="F150" s="4"/>
      <c r="G150" s="4"/>
      <c r="H150" s="4"/>
      <c r="I150" s="4"/>
      <c r="J150" s="73"/>
      <c r="K150" s="73"/>
      <c r="L150" s="4"/>
    </row>
    <row r="151" spans="1:12" ht="15.75" x14ac:dyDescent="0.25">
      <c r="A151" s="58" t="s">
        <v>89</v>
      </c>
      <c r="B151" s="59"/>
      <c r="C151" s="78">
        <f>SUM(C144:C150)</f>
        <v>2089059.85</v>
      </c>
      <c r="D151" s="4"/>
      <c r="E151" s="4"/>
      <c r="F151" s="4"/>
      <c r="G151" s="4"/>
      <c r="H151" s="4"/>
      <c r="I151" s="4"/>
      <c r="J151" s="73"/>
      <c r="K151" s="73"/>
      <c r="L151" s="4"/>
    </row>
    <row r="152" spans="1:12" ht="5.0999999999999996" customHeight="1" x14ac:dyDescent="0.25">
      <c r="A152" s="58"/>
      <c r="B152" s="59"/>
      <c r="C152" s="78"/>
      <c r="D152" s="4"/>
      <c r="E152" s="4"/>
      <c r="F152" s="4"/>
      <c r="G152" s="4"/>
      <c r="H152" s="4"/>
      <c r="I152" s="4"/>
      <c r="J152" s="73"/>
      <c r="K152" s="73"/>
      <c r="L152" s="4"/>
    </row>
    <row r="153" spans="1:12" x14ac:dyDescent="0.2">
      <c r="A153" s="54" t="s">
        <v>90</v>
      </c>
      <c r="B153" s="55"/>
      <c r="C153" s="76"/>
      <c r="D153" s="90"/>
      <c r="E153" s="91"/>
      <c r="F153" s="4"/>
      <c r="G153" s="4"/>
      <c r="H153" s="4"/>
      <c r="I153" s="4"/>
      <c r="J153" s="73"/>
      <c r="K153" s="73"/>
      <c r="L153" s="4"/>
    </row>
    <row r="154" spans="1:12" x14ac:dyDescent="0.2">
      <c r="A154" s="57" t="s">
        <v>152</v>
      </c>
      <c r="B154" s="55"/>
      <c r="C154" s="76">
        <v>272</v>
      </c>
      <c r="D154" s="92"/>
      <c r="E154" s="91"/>
      <c r="F154" s="4"/>
      <c r="G154" s="4"/>
      <c r="H154" s="4"/>
      <c r="I154" s="4"/>
      <c r="J154" s="73"/>
      <c r="K154" s="73"/>
      <c r="L154" s="4"/>
    </row>
    <row r="155" spans="1:12" x14ac:dyDescent="0.2">
      <c r="A155" s="57" t="s">
        <v>156</v>
      </c>
      <c r="B155" s="55"/>
      <c r="C155" s="76">
        <v>10274.74</v>
      </c>
      <c r="D155" s="92"/>
      <c r="E155" s="91"/>
      <c r="F155" s="4"/>
      <c r="G155" s="4"/>
      <c r="H155" s="4"/>
      <c r="I155" s="4"/>
      <c r="J155" s="73"/>
      <c r="K155" s="73"/>
      <c r="L155" s="4"/>
    </row>
    <row r="156" spans="1:12" x14ac:dyDescent="0.2">
      <c r="A156" s="57" t="s">
        <v>154</v>
      </c>
      <c r="B156" s="55"/>
      <c r="C156" s="76">
        <v>1665.2</v>
      </c>
      <c r="D156" s="92"/>
      <c r="E156" s="91"/>
      <c r="F156" s="4"/>
      <c r="G156" s="4"/>
      <c r="H156" s="4"/>
      <c r="I156" s="4"/>
      <c r="J156" s="73"/>
      <c r="K156" s="73"/>
      <c r="L156" s="4"/>
    </row>
    <row r="157" spans="1:12" x14ac:dyDescent="0.2">
      <c r="A157" s="57" t="s">
        <v>153</v>
      </c>
      <c r="B157" s="55"/>
      <c r="C157" s="76">
        <v>1053.68</v>
      </c>
      <c r="D157" s="93"/>
      <c r="E157" s="94"/>
      <c r="F157" s="4"/>
      <c r="G157" s="4"/>
      <c r="H157" s="4"/>
      <c r="I157" s="4"/>
      <c r="J157" s="73"/>
      <c r="K157" s="73"/>
      <c r="L157" s="4"/>
    </row>
    <row r="158" spans="1:12" x14ac:dyDescent="0.2">
      <c r="A158" s="57" t="s">
        <v>253</v>
      </c>
      <c r="B158" s="55"/>
      <c r="C158" s="76">
        <f>990.15+990.15+990.15+990.15+990.15+990.15+990.15+990.15+990.15</f>
        <v>8911.3499999999985</v>
      </c>
      <c r="D158" s="93"/>
      <c r="E158" s="94"/>
      <c r="F158" s="4"/>
      <c r="G158" s="4"/>
      <c r="H158" s="4"/>
      <c r="I158" s="4"/>
      <c r="J158" s="73"/>
      <c r="K158" s="73"/>
      <c r="L158" s="4"/>
    </row>
    <row r="159" spans="1:12" ht="2.1" customHeight="1" x14ac:dyDescent="0.2">
      <c r="A159" s="57"/>
      <c r="B159" s="55"/>
      <c r="C159" s="77"/>
      <c r="D159" s="92"/>
      <c r="E159" s="91"/>
      <c r="F159" s="4"/>
      <c r="G159" s="4"/>
      <c r="H159" s="4"/>
      <c r="I159" s="4"/>
      <c r="J159" s="73"/>
      <c r="K159" s="73"/>
      <c r="L159" s="4"/>
    </row>
    <row r="160" spans="1:12" ht="15.75" x14ac:dyDescent="0.25">
      <c r="A160" s="58"/>
      <c r="B160" s="59"/>
      <c r="C160" s="78">
        <f>SUM(C154:C159)</f>
        <v>22176.97</v>
      </c>
      <c r="D160" s="92"/>
      <c r="E160" s="91"/>
      <c r="F160" s="4"/>
      <c r="G160" s="4"/>
      <c r="H160" s="4"/>
      <c r="I160" s="4"/>
      <c r="J160" s="73"/>
      <c r="K160" s="73"/>
      <c r="L160" s="4"/>
    </row>
    <row r="161" spans="1:13" ht="2.1" customHeight="1" x14ac:dyDescent="0.25">
      <c r="A161" s="58"/>
      <c r="B161" s="59"/>
      <c r="C161" s="79"/>
      <c r="D161" s="90"/>
      <c r="E161" s="91"/>
      <c r="F161" s="4"/>
      <c r="G161" s="4"/>
      <c r="H161" s="4"/>
      <c r="I161" s="4"/>
      <c r="J161" s="73"/>
      <c r="K161" s="73"/>
      <c r="L161" s="4"/>
    </row>
    <row r="162" spans="1:13" ht="9.9499999999999993" customHeight="1" x14ac:dyDescent="0.2">
      <c r="A162" s="57"/>
      <c r="B162" s="55"/>
      <c r="C162" s="76"/>
      <c r="D162" s="90"/>
      <c r="E162" s="91"/>
      <c r="F162" s="4"/>
      <c r="G162" s="4"/>
      <c r="H162" s="4"/>
      <c r="I162" s="4"/>
      <c r="J162" s="73"/>
      <c r="K162" s="73"/>
      <c r="L162" s="4"/>
    </row>
    <row r="163" spans="1:13" ht="16.5" thickBot="1" x14ac:dyDescent="0.3">
      <c r="A163" s="60" t="s">
        <v>284</v>
      </c>
      <c r="B163" s="61"/>
      <c r="C163" s="75">
        <f>C151+C160</f>
        <v>2111236.8200000003</v>
      </c>
      <c r="D163" s="90"/>
      <c r="E163" s="91"/>
      <c r="F163" s="4"/>
      <c r="G163" s="4"/>
      <c r="H163" s="4"/>
      <c r="I163" s="4"/>
      <c r="J163" s="73"/>
      <c r="K163" s="73"/>
      <c r="L163" s="4"/>
      <c r="M163" s="4"/>
    </row>
    <row r="164" spans="1:13" x14ac:dyDescent="0.2">
      <c r="A164" s="62"/>
      <c r="B164" s="62"/>
      <c r="C164" s="63"/>
      <c r="D164" s="4"/>
      <c r="E164" s="4"/>
      <c r="F164" s="4"/>
      <c r="G164" s="4"/>
      <c r="H164" s="4"/>
      <c r="I164" s="4"/>
      <c r="J164" s="73"/>
      <c r="K164" s="73"/>
      <c r="L164" s="4"/>
    </row>
    <row r="165" spans="1:13" x14ac:dyDescent="0.2">
      <c r="C165" s="63"/>
      <c r="D165" s="4"/>
    </row>
    <row r="166" spans="1:13" x14ac:dyDescent="0.2">
      <c r="C166" s="14"/>
      <c r="D166" s="4"/>
    </row>
    <row r="167" spans="1:13" x14ac:dyDescent="0.2">
      <c r="C167" s="14"/>
      <c r="D167" s="4"/>
    </row>
    <row r="168" spans="1:13" x14ac:dyDescent="0.2">
      <c r="C168" s="15"/>
      <c r="D168" s="4"/>
      <c r="I168" s="4"/>
      <c r="K168" s="73"/>
      <c r="L168" s="4"/>
    </row>
    <row r="169" spans="1:13" x14ac:dyDescent="0.2">
      <c r="C169" s="15"/>
      <c r="D169" s="4"/>
    </row>
    <row r="170" spans="1:13" x14ac:dyDescent="0.2">
      <c r="C170" s="15"/>
      <c r="D170" s="4"/>
    </row>
    <row r="171" spans="1:13" x14ac:dyDescent="0.2">
      <c r="C171" s="15"/>
      <c r="D171" s="4"/>
    </row>
    <row r="172" spans="1:13" x14ac:dyDescent="0.2">
      <c r="C172" s="15"/>
      <c r="D172" s="4"/>
    </row>
    <row r="173" spans="1:13" x14ac:dyDescent="0.2">
      <c r="D173" s="4"/>
    </row>
    <row r="174" spans="1:13" x14ac:dyDescent="0.2">
      <c r="D174" s="4"/>
    </row>
    <row r="175" spans="1:13" x14ac:dyDescent="0.2">
      <c r="B175" s="11" t="s">
        <v>281</v>
      </c>
      <c r="D175" s="13" t="s">
        <v>240</v>
      </c>
      <c r="I175" s="13"/>
      <c r="K175" s="83"/>
      <c r="M175" s="11" t="s">
        <v>269</v>
      </c>
    </row>
    <row r="176" spans="1:13" x14ac:dyDescent="0.2">
      <c r="B176" s="11" t="s">
        <v>91</v>
      </c>
      <c r="D176" s="13" t="s">
        <v>92</v>
      </c>
      <c r="M176" s="11" t="s">
        <v>270</v>
      </c>
    </row>
    <row r="180" spans="7:12" x14ac:dyDescent="0.2">
      <c r="I180" s="4"/>
      <c r="K180" s="73"/>
      <c r="L180" s="4"/>
    </row>
    <row r="181" spans="7:12" x14ac:dyDescent="0.2">
      <c r="I181" s="4"/>
      <c r="K181" s="73"/>
      <c r="L181" s="4"/>
    </row>
    <row r="182" spans="7:12" x14ac:dyDescent="0.2">
      <c r="G182" s="64"/>
      <c r="I182" s="64"/>
      <c r="K182" s="74"/>
      <c r="L182" s="4"/>
    </row>
    <row r="183" spans="7:12" x14ac:dyDescent="0.2">
      <c r="G183" s="64"/>
      <c r="I183" s="64"/>
      <c r="K183" s="74"/>
      <c r="L183" s="4"/>
    </row>
    <row r="184" spans="7:12" x14ac:dyDescent="0.2">
      <c r="G184" s="64"/>
      <c r="L184" s="4"/>
    </row>
    <row r="185" spans="7:12" x14ac:dyDescent="0.2">
      <c r="G185" s="64"/>
    </row>
    <row r="186" spans="7:12" x14ac:dyDescent="0.2">
      <c r="G186" s="64"/>
    </row>
    <row r="187" spans="7:12" x14ac:dyDescent="0.2">
      <c r="G187" s="64"/>
      <c r="L187" s="4"/>
    </row>
    <row r="188" spans="7:12" x14ac:dyDescent="0.2">
      <c r="G188" s="64"/>
    </row>
    <row r="189" spans="7:12" x14ac:dyDescent="0.2">
      <c r="G189" s="64"/>
    </row>
    <row r="190" spans="7:12" x14ac:dyDescent="0.2">
      <c r="G190" s="64"/>
    </row>
    <row r="191" spans="7:12" x14ac:dyDescent="0.2">
      <c r="G191" s="64"/>
    </row>
    <row r="192" spans="7:12" x14ac:dyDescent="0.2">
      <c r="G192" s="64"/>
    </row>
    <row r="193" spans="7:7" x14ac:dyDescent="0.2">
      <c r="G193" s="64"/>
    </row>
    <row r="194" spans="7:7" x14ac:dyDescent="0.2">
      <c r="G194" s="64"/>
    </row>
    <row r="195" spans="7:7" x14ac:dyDescent="0.2">
      <c r="G195" s="64"/>
    </row>
    <row r="196" spans="7:7" x14ac:dyDescent="0.2">
      <c r="G196" s="64"/>
    </row>
    <row r="197" spans="7:7" x14ac:dyDescent="0.2">
      <c r="G197" s="64"/>
    </row>
    <row r="198" spans="7:7" x14ac:dyDescent="0.2">
      <c r="G198" s="64"/>
    </row>
    <row r="199" spans="7:7" x14ac:dyDescent="0.2">
      <c r="G199" s="64"/>
    </row>
  </sheetData>
  <mergeCells count="4">
    <mergeCell ref="B6:B7"/>
    <mergeCell ref="M6:M7"/>
    <mergeCell ref="H6:I6"/>
    <mergeCell ref="J6:K6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53" max="14" man="1"/>
    <brk id="11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7"/>
  <sheetViews>
    <sheetView tabSelected="1" zoomScaleNormal="100" workbookViewId="0">
      <selection activeCell="E164" sqref="E164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9" width="16.42578125" style="11" customWidth="1"/>
    <col min="10" max="11" width="13.42578125" style="62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5"/>
      <c r="K1" s="65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5"/>
      <c r="K2" s="65"/>
      <c r="L2" s="16"/>
      <c r="M2" s="16"/>
      <c r="N2" s="16"/>
      <c r="O2" s="17"/>
    </row>
    <row r="3" spans="1:15" ht="15.75" x14ac:dyDescent="0.25">
      <c r="A3" s="16" t="s">
        <v>285</v>
      </c>
      <c r="B3" s="16"/>
      <c r="C3" s="16"/>
      <c r="D3" s="16"/>
      <c r="E3" s="16"/>
      <c r="F3" s="16"/>
      <c r="G3" s="16"/>
      <c r="H3" s="16"/>
      <c r="I3" s="16"/>
      <c r="J3" s="65"/>
      <c r="K3" s="65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5"/>
      <c r="K4" s="65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6"/>
      <c r="K5" s="66"/>
      <c r="L5" s="17"/>
      <c r="M5" s="17"/>
      <c r="N5" s="17"/>
      <c r="O5" s="17"/>
    </row>
    <row r="6" spans="1:15" ht="16.5" thickBot="1" x14ac:dyDescent="0.3">
      <c r="A6" s="18" t="s">
        <v>3</v>
      </c>
      <c r="B6" s="100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02" t="s">
        <v>18</v>
      </c>
      <c r="I6" s="103"/>
      <c r="J6" s="104" t="s">
        <v>282</v>
      </c>
      <c r="K6" s="105"/>
      <c r="L6" s="18" t="s">
        <v>5</v>
      </c>
      <c r="M6" s="100" t="s">
        <v>8</v>
      </c>
      <c r="N6" s="18" t="s">
        <v>9</v>
      </c>
      <c r="O6" s="18" t="s">
        <v>10</v>
      </c>
    </row>
    <row r="7" spans="1:15" ht="16.5" thickBot="1" x14ac:dyDescent="0.3">
      <c r="A7" s="21" t="s">
        <v>11</v>
      </c>
      <c r="B7" s="101"/>
      <c r="C7" s="21" t="s">
        <v>12</v>
      </c>
      <c r="D7" s="22" t="s">
        <v>13</v>
      </c>
      <c r="E7" s="22" t="s">
        <v>14</v>
      </c>
      <c r="F7" s="22" t="s">
        <v>13</v>
      </c>
      <c r="G7" s="22" t="s">
        <v>14</v>
      </c>
      <c r="H7" s="22" t="s">
        <v>13</v>
      </c>
      <c r="I7" s="98" t="s">
        <v>14</v>
      </c>
      <c r="J7" s="68" t="s">
        <v>13</v>
      </c>
      <c r="K7" s="99" t="s">
        <v>14</v>
      </c>
      <c r="L7" s="21" t="s">
        <v>15</v>
      </c>
      <c r="M7" s="101"/>
      <c r="N7" s="21" t="s">
        <v>16</v>
      </c>
      <c r="O7" s="21" t="s">
        <v>17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9"/>
      <c r="K8" s="69"/>
      <c r="L8" s="25"/>
      <c r="M8" s="25"/>
      <c r="N8" s="25"/>
      <c r="O8" s="26"/>
    </row>
    <row r="9" spans="1:15" ht="15.95" customHeight="1" x14ac:dyDescent="0.25">
      <c r="A9" s="27"/>
      <c r="B9" s="27" t="s">
        <v>187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19</v>
      </c>
      <c r="B10" s="31" t="s">
        <v>188</v>
      </c>
      <c r="C10" s="30">
        <v>33000</v>
      </c>
      <c r="D10" s="30"/>
      <c r="E10" s="30"/>
      <c r="F10" s="30"/>
      <c r="G10" s="30">
        <v>6700</v>
      </c>
      <c r="H10" s="30"/>
      <c r="I10" s="30"/>
      <c r="J10" s="46"/>
      <c r="K10" s="46"/>
      <c r="L10" s="30">
        <f t="shared" ref="L10:L22" si="0">C10+D10-E10+F10-G10+J10-K10</f>
        <v>26300</v>
      </c>
      <c r="M10" s="30">
        <f>13600+7600+600+400+600+600+201+400</f>
        <v>24001</v>
      </c>
      <c r="N10" s="30">
        <f t="shared" ref="N10:N22" si="1">L10-M10</f>
        <v>2299</v>
      </c>
      <c r="O10" s="29">
        <f>M10/$M$26</f>
        <v>5.6601849424690103E-3</v>
      </c>
    </row>
    <row r="11" spans="1:15" ht="15.95" hidden="1" customHeight="1" x14ac:dyDescent="0.25">
      <c r="A11" s="31" t="s">
        <v>29</v>
      </c>
      <c r="B11" s="31" t="s">
        <v>30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si="0"/>
        <v>0</v>
      </c>
      <c r="M11" s="30">
        <v>0</v>
      </c>
      <c r="N11" s="30">
        <v>0</v>
      </c>
      <c r="O11" s="29"/>
    </row>
    <row r="12" spans="1:15" ht="15.95" customHeight="1" x14ac:dyDescent="0.25">
      <c r="A12" s="31" t="s">
        <v>20</v>
      </c>
      <c r="B12" s="31" t="s">
        <v>189</v>
      </c>
      <c r="C12" s="30">
        <v>25000</v>
      </c>
      <c r="D12" s="30"/>
      <c r="E12" s="30"/>
      <c r="F12" s="30"/>
      <c r="G12" s="30"/>
      <c r="H12" s="30"/>
      <c r="I12" s="30"/>
      <c r="J12" s="46"/>
      <c r="K12" s="46"/>
      <c r="L12" s="30">
        <f t="shared" si="0"/>
        <v>25000</v>
      </c>
      <c r="M12" s="30">
        <v>2710.4</v>
      </c>
      <c r="N12" s="30">
        <f t="shared" si="1"/>
        <v>22289.599999999999</v>
      </c>
      <c r="O12" s="29">
        <f>M12/$M$26</f>
        <v>6.3919691963118226E-4</v>
      </c>
    </row>
    <row r="13" spans="1:15" ht="15.95" customHeight="1" x14ac:dyDescent="0.25">
      <c r="A13" s="31" t="s">
        <v>21</v>
      </c>
      <c r="B13" s="31" t="s">
        <v>190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0"/>
        <v>3500</v>
      </c>
      <c r="M13" s="30">
        <v>3500</v>
      </c>
      <c r="N13" s="30">
        <f t="shared" si="1"/>
        <v>0</v>
      </c>
      <c r="O13" s="29">
        <f>M13/$M$26</f>
        <v>8.2540924539150598E-4</v>
      </c>
    </row>
    <row r="14" spans="1:15" ht="15.95" customHeight="1" x14ac:dyDescent="0.25">
      <c r="A14" s="31"/>
      <c r="B14" s="27" t="s">
        <v>191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192</v>
      </c>
      <c r="B15" s="31" t="s">
        <v>245</v>
      </c>
      <c r="C15" s="30">
        <v>3300</v>
      </c>
      <c r="D15" s="30"/>
      <c r="E15" s="30"/>
      <c r="F15" s="30">
        <v>6700</v>
      </c>
      <c r="G15" s="30"/>
      <c r="H15" s="30"/>
      <c r="I15" s="30"/>
      <c r="J15" s="46"/>
      <c r="K15" s="46"/>
      <c r="L15" s="30">
        <f t="shared" si="0"/>
        <v>10000</v>
      </c>
      <c r="M15" s="30">
        <v>7878.62</v>
      </c>
      <c r="N15" s="30">
        <f t="shared" si="1"/>
        <v>2121.38</v>
      </c>
      <c r="O15" s="29">
        <f>M15/$M$26</f>
        <v>1.8580245111218363E-3</v>
      </c>
    </row>
    <row r="16" spans="1:15" ht="15.95" customHeight="1" x14ac:dyDescent="0.25">
      <c r="A16" s="27" t="s">
        <v>242</v>
      </c>
      <c r="B16" s="27" t="s">
        <v>243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244</v>
      </c>
      <c r="B17" s="27" t="s">
        <v>241</v>
      </c>
      <c r="C17" s="89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22</v>
      </c>
      <c r="B18" s="31" t="s">
        <v>23</v>
      </c>
      <c r="C18" s="30">
        <v>2996512.52</v>
      </c>
      <c r="D18" s="30"/>
      <c r="E18" s="30"/>
      <c r="F18" s="30"/>
      <c r="G18" s="30"/>
      <c r="H18" s="30"/>
      <c r="I18" s="30"/>
      <c r="J18" s="46"/>
      <c r="K18" s="46">
        <v>100</v>
      </c>
      <c r="L18" s="30">
        <f t="shared" si="0"/>
        <v>2996412.52</v>
      </c>
      <c r="M18" s="30">
        <f>2832774.74+206554.63</f>
        <v>3039329.37</v>
      </c>
      <c r="N18" s="30">
        <f t="shared" si="1"/>
        <v>-42916.850000000093</v>
      </c>
      <c r="O18" s="29">
        <f>M18/$M$26</f>
        <v>0.71676873193941182</v>
      </c>
    </row>
    <row r="19" spans="1:15" ht="15.95" hidden="1" customHeight="1" x14ac:dyDescent="0.25">
      <c r="A19" s="31" t="s">
        <v>24</v>
      </c>
      <c r="B19" s="31" t="s">
        <v>32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0"/>
        <v>0</v>
      </c>
      <c r="M19" s="30">
        <v>0</v>
      </c>
      <c r="N19" s="30">
        <f t="shared" si="1"/>
        <v>0</v>
      </c>
      <c r="O19" s="29">
        <f>M19/$M$26</f>
        <v>0</v>
      </c>
    </row>
    <row r="20" spans="1:15" ht="15.95" customHeight="1" x14ac:dyDescent="0.25">
      <c r="A20" s="31" t="s">
        <v>25</v>
      </c>
      <c r="B20" s="31" t="s">
        <v>26</v>
      </c>
      <c r="C20" s="30">
        <v>1809978.55</v>
      </c>
      <c r="D20" s="30"/>
      <c r="E20" s="30"/>
      <c r="F20" s="30"/>
      <c r="G20" s="30"/>
      <c r="H20" s="30"/>
      <c r="I20" s="30"/>
      <c r="J20" s="46"/>
      <c r="K20" s="46"/>
      <c r="L20" s="30">
        <f t="shared" si="0"/>
        <v>1809978.55</v>
      </c>
      <c r="M20" s="30">
        <v>945586.76</v>
      </c>
      <c r="N20" s="30">
        <f t="shared" si="1"/>
        <v>864391.79</v>
      </c>
      <c r="O20" s="29">
        <f>M20/$M$26</f>
        <v>0.22299887257822831</v>
      </c>
    </row>
    <row r="21" spans="1:15" ht="15.95" customHeight="1" x14ac:dyDescent="0.25">
      <c r="A21" s="31" t="s">
        <v>27</v>
      </c>
      <c r="B21" s="31" t="s">
        <v>28</v>
      </c>
      <c r="C21" s="30">
        <v>20000</v>
      </c>
      <c r="D21" s="30"/>
      <c r="E21" s="30"/>
      <c r="F21" s="30"/>
      <c r="G21" s="30"/>
      <c r="H21" s="30"/>
      <c r="I21" s="30"/>
      <c r="J21" s="46">
        <v>100</v>
      </c>
      <c r="K21" s="46"/>
      <c r="L21" s="30">
        <f t="shared" si="0"/>
        <v>20100</v>
      </c>
      <c r="M21" s="30">
        <v>18447.96</v>
      </c>
      <c r="N21" s="30">
        <f t="shared" si="1"/>
        <v>1652.0400000000009</v>
      </c>
      <c r="O21" s="29">
        <f>M21/$M$26</f>
        <v>4.3506047836036248E-3</v>
      </c>
    </row>
    <row r="22" spans="1:15" ht="15.95" customHeight="1" x14ac:dyDescent="0.25">
      <c r="A22" s="32" t="s">
        <v>31</v>
      </c>
      <c r="B22" s="32" t="s">
        <v>33</v>
      </c>
      <c r="C22" s="33">
        <v>239501.9</v>
      </c>
      <c r="D22" s="33"/>
      <c r="E22" s="33"/>
      <c r="F22" s="33"/>
      <c r="G22" s="33"/>
      <c r="H22" s="33"/>
      <c r="I22" s="33"/>
      <c r="J22" s="70"/>
      <c r="K22" s="70"/>
      <c r="L22" s="30">
        <f t="shared" si="0"/>
        <v>239501.9</v>
      </c>
      <c r="M22" s="30">
        <v>198866.7</v>
      </c>
      <c r="N22" s="30">
        <f t="shared" si="1"/>
        <v>40635.199999999983</v>
      </c>
      <c r="O22" s="29">
        <f>M22/$M$26</f>
        <v>4.6898975080142576E-2</v>
      </c>
    </row>
    <row r="23" spans="1:15" ht="15.95" customHeight="1" x14ac:dyDescent="0.25">
      <c r="A23" s="27"/>
      <c r="B23" s="27" t="s">
        <v>193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30"/>
      <c r="N23" s="28"/>
      <c r="O23" s="29"/>
    </row>
    <row r="24" spans="1:15" ht="15.95" customHeight="1" x14ac:dyDescent="0.25">
      <c r="A24" s="31" t="s">
        <v>196</v>
      </c>
      <c r="B24" s="31" t="s">
        <v>197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>
        <v>0</v>
      </c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195</v>
      </c>
      <c r="B25" s="31" t="s">
        <v>194</v>
      </c>
      <c r="C25" s="30">
        <v>1025276.81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1025276.81</v>
      </c>
      <c r="M25" s="30"/>
      <c r="N25" s="30">
        <f>L25-M25</f>
        <v>1025276.81</v>
      </c>
      <c r="O25" s="29">
        <f>M25/$M$26</f>
        <v>0</v>
      </c>
    </row>
    <row r="26" spans="1:15" ht="18" customHeight="1" thickBot="1" x14ac:dyDescent="0.3">
      <c r="A26" s="34"/>
      <c r="B26" s="35" t="s">
        <v>34</v>
      </c>
      <c r="C26" s="36">
        <f>SUM(C9:C25)</f>
        <v>6416776.6100000013</v>
      </c>
      <c r="D26" s="36">
        <f t="shared" ref="D26:N26" si="2">SUM(D9:D25)</f>
        <v>0</v>
      </c>
      <c r="E26" s="36">
        <f t="shared" si="2"/>
        <v>0</v>
      </c>
      <c r="F26" s="36">
        <f t="shared" si="2"/>
        <v>6700</v>
      </c>
      <c r="G26" s="36">
        <f t="shared" si="2"/>
        <v>6700</v>
      </c>
      <c r="H26" s="36">
        <f t="shared" si="2"/>
        <v>0</v>
      </c>
      <c r="I26" s="36">
        <f t="shared" si="2"/>
        <v>0</v>
      </c>
      <c r="J26" s="36">
        <f t="shared" si="2"/>
        <v>100</v>
      </c>
      <c r="K26" s="36">
        <f t="shared" si="2"/>
        <v>100</v>
      </c>
      <c r="L26" s="36">
        <f t="shared" si="2"/>
        <v>6416776.6100000013</v>
      </c>
      <c r="M26" s="36">
        <f t="shared" si="2"/>
        <v>4240320.8100000005</v>
      </c>
      <c r="N26" s="36">
        <f t="shared" si="2"/>
        <v>2176455.7999999998</v>
      </c>
      <c r="O26" s="29"/>
    </row>
    <row r="27" spans="1:15" ht="15.95" customHeight="1" x14ac:dyDescent="0.2">
      <c r="A27" s="37"/>
      <c r="B27" s="37"/>
      <c r="C27" s="38">
        <f>6416776.61-C26</f>
        <v>0</v>
      </c>
      <c r="D27" s="38"/>
      <c r="E27" s="38"/>
      <c r="F27" s="38"/>
      <c r="G27" s="38"/>
      <c r="H27" s="38"/>
      <c r="I27" s="38"/>
      <c r="J27" s="69"/>
      <c r="K27" s="69"/>
      <c r="L27" s="38"/>
      <c r="M27" s="38"/>
      <c r="N27" s="38"/>
      <c r="O27" s="39"/>
    </row>
    <row r="28" spans="1:15" ht="15.95" customHeight="1" x14ac:dyDescent="0.25">
      <c r="A28" s="27" t="s">
        <v>35</v>
      </c>
      <c r="B28" s="27" t="s">
        <v>36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37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38</v>
      </c>
      <c r="B31" s="31" t="s">
        <v>159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v>751636.65</v>
      </c>
      <c r="N31" s="30">
        <f t="shared" ref="N31:N97" si="3">L31-M31</f>
        <v>32935.390000000014</v>
      </c>
      <c r="O31" s="40">
        <f t="shared" ref="O31:O40" si="4">M31/$M$136</f>
        <v>0.23806096182973627</v>
      </c>
    </row>
    <row r="32" spans="1:15" ht="15.95" customHeight="1" x14ac:dyDescent="0.2">
      <c r="A32" s="43" t="s">
        <v>39</v>
      </c>
      <c r="B32" s="31" t="s">
        <v>160</v>
      </c>
      <c r="C32" s="30">
        <v>4500</v>
      </c>
      <c r="D32" s="30"/>
      <c r="E32" s="30"/>
      <c r="F32" s="46">
        <v>11000</v>
      </c>
      <c r="G32" s="46"/>
      <c r="H32" s="30"/>
      <c r="I32" s="30"/>
      <c r="J32" s="46"/>
      <c r="K32" s="46"/>
      <c r="L32" s="30">
        <f>C32+D32-E32+F32-G32+H32-I32+J32-K32</f>
        <v>15500</v>
      </c>
      <c r="M32" s="30">
        <v>7875</v>
      </c>
      <c r="N32" s="30">
        <f t="shared" si="3"/>
        <v>7625</v>
      </c>
      <c r="O32" s="40">
        <f t="shared" si="4"/>
        <v>2.4941972619472097E-3</v>
      </c>
    </row>
    <row r="33" spans="1:15" ht="15.95" customHeight="1" x14ac:dyDescent="0.2">
      <c r="A33" s="43" t="s">
        <v>40</v>
      </c>
      <c r="B33" s="31" t="s">
        <v>161</v>
      </c>
      <c r="C33" s="30">
        <v>281100</v>
      </c>
      <c r="D33" s="30"/>
      <c r="E33" s="30"/>
      <c r="F33" s="46"/>
      <c r="G33" s="46"/>
      <c r="H33" s="30"/>
      <c r="I33" s="30"/>
      <c r="J33" s="46"/>
      <c r="K33" s="46"/>
      <c r="L33" s="30">
        <f t="shared" ref="L33:L40" si="5">C33+D33-E33+F33-G33+H33-I33+J33-K33</f>
        <v>281100</v>
      </c>
      <c r="M33" s="30">
        <v>267585.27</v>
      </c>
      <c r="N33" s="30">
        <f t="shared" si="3"/>
        <v>13514.729999999981</v>
      </c>
      <c r="O33" s="40">
        <f t="shared" si="4"/>
        <v>8.4750533050337126E-2</v>
      </c>
    </row>
    <row r="34" spans="1:15" ht="15.95" customHeight="1" x14ac:dyDescent="0.2">
      <c r="A34" s="43" t="s">
        <v>41</v>
      </c>
      <c r="B34" s="31" t="s">
        <v>42</v>
      </c>
      <c r="C34" s="30">
        <v>17500</v>
      </c>
      <c r="D34" s="30"/>
      <c r="E34" s="30"/>
      <c r="F34" s="46"/>
      <c r="G34" s="46"/>
      <c r="H34" s="30"/>
      <c r="I34" s="30"/>
      <c r="J34" s="46"/>
      <c r="K34" s="46"/>
      <c r="L34" s="30">
        <f t="shared" si="5"/>
        <v>17500</v>
      </c>
      <c r="M34" s="30">
        <v>0</v>
      </c>
      <c r="N34" s="30">
        <f t="shared" si="3"/>
        <v>17500</v>
      </c>
      <c r="O34" s="40">
        <f t="shared" si="4"/>
        <v>0</v>
      </c>
    </row>
    <row r="35" spans="1:15" ht="15.95" customHeight="1" x14ac:dyDescent="0.2">
      <c r="A35" s="43" t="s">
        <v>43</v>
      </c>
      <c r="B35" s="31" t="s">
        <v>162</v>
      </c>
      <c r="C35" s="30">
        <v>34510.800000000003</v>
      </c>
      <c r="D35" s="30"/>
      <c r="E35" s="30"/>
      <c r="F35" s="46"/>
      <c r="G35" s="46"/>
      <c r="H35" s="30"/>
      <c r="I35" s="30"/>
      <c r="J35" s="46"/>
      <c r="K35" s="46"/>
      <c r="L35" s="30">
        <f t="shared" si="5"/>
        <v>34510.800000000003</v>
      </c>
      <c r="M35" s="30">
        <v>7079.65</v>
      </c>
      <c r="N35" s="30">
        <f t="shared" si="3"/>
        <v>27431.15</v>
      </c>
      <c r="O35" s="40">
        <f t="shared" si="4"/>
        <v>2.2422912565770873E-3</v>
      </c>
    </row>
    <row r="36" spans="1:15" ht="15.95" customHeight="1" x14ac:dyDescent="0.2">
      <c r="A36" s="43" t="s">
        <v>44</v>
      </c>
      <c r="B36" s="31" t="s">
        <v>163</v>
      </c>
      <c r="C36" s="30">
        <v>87401.15</v>
      </c>
      <c r="D36" s="30"/>
      <c r="E36" s="30"/>
      <c r="F36" s="46"/>
      <c r="G36" s="46"/>
      <c r="H36" s="30"/>
      <c r="I36" s="30"/>
      <c r="J36" s="46"/>
      <c r="K36" s="46"/>
      <c r="L36" s="30">
        <f t="shared" si="5"/>
        <v>87401.15</v>
      </c>
      <c r="M36" s="30">
        <v>81412.13</v>
      </c>
      <c r="N36" s="30">
        <f t="shared" si="3"/>
        <v>5989.0199999999895</v>
      </c>
      <c r="O36" s="40">
        <f t="shared" si="4"/>
        <v>2.5785131648925753E-2</v>
      </c>
    </row>
    <row r="37" spans="1:15" ht="15.95" customHeight="1" x14ac:dyDescent="0.2">
      <c r="A37" s="43" t="s">
        <v>45</v>
      </c>
      <c r="B37" s="31" t="s">
        <v>164</v>
      </c>
      <c r="C37" s="30">
        <v>8190.84</v>
      </c>
      <c r="D37" s="30"/>
      <c r="E37" s="30"/>
      <c r="F37" s="46"/>
      <c r="G37" s="46"/>
      <c r="H37" s="30"/>
      <c r="I37" s="30"/>
      <c r="J37" s="46"/>
      <c r="K37" s="46"/>
      <c r="L37" s="30">
        <f t="shared" si="5"/>
        <v>8190.84</v>
      </c>
      <c r="M37" s="30">
        <v>7630.01</v>
      </c>
      <c r="N37" s="30">
        <f t="shared" si="3"/>
        <v>560.82999999999993</v>
      </c>
      <c r="O37" s="40">
        <f t="shared" si="4"/>
        <v>2.4166031810323595E-3</v>
      </c>
    </row>
    <row r="38" spans="1:15" ht="15.95" customHeight="1" x14ac:dyDescent="0.2">
      <c r="A38" s="43" t="s">
        <v>46</v>
      </c>
      <c r="B38" s="31" t="s">
        <v>47</v>
      </c>
      <c r="C38" s="30">
        <v>67581.009999999995</v>
      </c>
      <c r="D38" s="30"/>
      <c r="E38" s="30"/>
      <c r="F38" s="46">
        <v>3000</v>
      </c>
      <c r="G38" s="46"/>
      <c r="H38" s="30"/>
      <c r="I38" s="30"/>
      <c r="J38" s="46"/>
      <c r="K38" s="46"/>
      <c r="L38" s="30">
        <f t="shared" si="5"/>
        <v>70581.009999999995</v>
      </c>
      <c r="M38" s="30">
        <v>64983.38</v>
      </c>
      <c r="N38" s="30">
        <f t="shared" si="3"/>
        <v>5597.6299999999974</v>
      </c>
      <c r="O38" s="40">
        <f t="shared" si="4"/>
        <v>2.0581761075311119E-2</v>
      </c>
    </row>
    <row r="39" spans="1:15" ht="15.95" customHeight="1" x14ac:dyDescent="0.2">
      <c r="A39" s="43" t="s">
        <v>48</v>
      </c>
      <c r="B39" s="31" t="s">
        <v>165</v>
      </c>
      <c r="C39" s="30">
        <v>67581.009999999995</v>
      </c>
      <c r="D39" s="30"/>
      <c r="E39" s="30"/>
      <c r="F39" s="46">
        <v>3000</v>
      </c>
      <c r="G39" s="46"/>
      <c r="H39" s="30"/>
      <c r="I39" s="30"/>
      <c r="J39" s="46"/>
      <c r="K39" s="46"/>
      <c r="L39" s="30">
        <f t="shared" si="5"/>
        <v>70581.009999999995</v>
      </c>
      <c r="M39" s="30">
        <v>67087.31</v>
      </c>
      <c r="N39" s="30">
        <f t="shared" si="3"/>
        <v>3493.6999999999971</v>
      </c>
      <c r="O39" s="40">
        <f t="shared" si="4"/>
        <v>2.1248125068368717E-2</v>
      </c>
    </row>
    <row r="40" spans="1:15" ht="15.95" customHeight="1" x14ac:dyDescent="0.2">
      <c r="A40" s="43" t="s">
        <v>49</v>
      </c>
      <c r="B40" s="31" t="s">
        <v>50</v>
      </c>
      <c r="C40" s="30">
        <v>4400</v>
      </c>
      <c r="D40" s="30"/>
      <c r="E40" s="30"/>
      <c r="F40" s="46"/>
      <c r="G40" s="46"/>
      <c r="H40" s="30">
        <v>1000</v>
      </c>
      <c r="I40" s="30"/>
      <c r="J40" s="46"/>
      <c r="K40" s="46"/>
      <c r="L40" s="30">
        <f t="shared" si="5"/>
        <v>5400</v>
      </c>
      <c r="M40" s="30">
        <v>4202.74</v>
      </c>
      <c r="N40" s="30">
        <f t="shared" si="3"/>
        <v>1197.2600000000002</v>
      </c>
      <c r="O40" s="40">
        <f t="shared" si="4"/>
        <v>1.3311063619906051E-3</v>
      </c>
    </row>
    <row r="41" spans="1:15" ht="15.95" customHeight="1" x14ac:dyDescent="0.2">
      <c r="A41" s="43"/>
      <c r="B41" s="31"/>
      <c r="C41" s="30"/>
      <c r="D41" s="30"/>
      <c r="E41" s="30"/>
      <c r="F41" s="46"/>
      <c r="G41" s="46"/>
      <c r="H41" s="30"/>
      <c r="I41" s="30"/>
      <c r="J41" s="46"/>
      <c r="K41" s="46"/>
      <c r="L41" s="30"/>
      <c r="M41" s="30"/>
      <c r="N41" s="30"/>
      <c r="O41" s="40"/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5">
      <c r="A43" s="41">
        <v>1</v>
      </c>
      <c r="B43" s="42" t="s">
        <v>51</v>
      </c>
      <c r="C43" s="28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">
      <c r="A44" s="43" t="s">
        <v>96</v>
      </c>
      <c r="B44" s="31" t="s">
        <v>52</v>
      </c>
      <c r="C44" s="30">
        <v>13750</v>
      </c>
      <c r="D44" s="30"/>
      <c r="E44" s="30"/>
      <c r="F44" s="46"/>
      <c r="G44" s="46"/>
      <c r="H44" s="30"/>
      <c r="I44" s="30"/>
      <c r="J44" s="46"/>
      <c r="K44" s="46"/>
      <c r="L44" s="30">
        <f t="shared" ref="L44:L77" si="6">C44+D44-E44+F44-G44+H44-I44+J44-K44</f>
        <v>13750</v>
      </c>
      <c r="M44" s="30">
        <v>6285.21</v>
      </c>
      <c r="N44" s="30">
        <f t="shared" si="3"/>
        <v>7464.79</v>
      </c>
      <c r="O44" s="40">
        <f t="shared" ref="O44:O59" si="7">M44/$M$136</f>
        <v>1.9906734695572343E-3</v>
      </c>
    </row>
    <row r="45" spans="1:15" ht="15.95" customHeight="1" x14ac:dyDescent="0.2">
      <c r="A45" s="43" t="s">
        <v>97</v>
      </c>
      <c r="B45" s="31" t="s">
        <v>53</v>
      </c>
      <c r="C45" s="30">
        <v>26100</v>
      </c>
      <c r="D45" s="30"/>
      <c r="E45" s="30"/>
      <c r="F45" s="46"/>
      <c r="G45" s="46"/>
      <c r="H45" s="30"/>
      <c r="I45" s="30"/>
      <c r="J45" s="46"/>
      <c r="K45" s="46"/>
      <c r="L45" s="30">
        <f t="shared" si="6"/>
        <v>26100</v>
      </c>
      <c r="M45" s="30">
        <v>16385.82</v>
      </c>
      <c r="N45" s="30">
        <f t="shared" si="3"/>
        <v>9714.18</v>
      </c>
      <c r="O45" s="40">
        <f t="shared" si="7"/>
        <v>5.1897736353980735E-3</v>
      </c>
    </row>
    <row r="46" spans="1:15" ht="15.95" customHeight="1" x14ac:dyDescent="0.2">
      <c r="A46" s="43" t="s">
        <v>98</v>
      </c>
      <c r="B46" s="31" t="s">
        <v>54</v>
      </c>
      <c r="C46" s="30">
        <v>2000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2000</v>
      </c>
      <c r="M46" s="30">
        <v>364.6</v>
      </c>
      <c r="N46" s="30">
        <f t="shared" si="3"/>
        <v>1635.4</v>
      </c>
      <c r="O46" s="40">
        <f t="shared" si="7"/>
        <v>1.1547737418488289E-4</v>
      </c>
    </row>
    <row r="47" spans="1:15" ht="15.95" customHeight="1" x14ac:dyDescent="0.2">
      <c r="A47" s="43" t="s">
        <v>99</v>
      </c>
      <c r="B47" s="31" t="s">
        <v>166</v>
      </c>
      <c r="C47" s="30">
        <v>8000</v>
      </c>
      <c r="D47" s="30"/>
      <c r="E47" s="30"/>
      <c r="F47" s="46">
        <v>5000</v>
      </c>
      <c r="G47" s="46"/>
      <c r="H47" s="30"/>
      <c r="I47" s="30"/>
      <c r="J47" s="46"/>
      <c r="K47" s="46"/>
      <c r="L47" s="30">
        <f t="shared" si="6"/>
        <v>13000</v>
      </c>
      <c r="M47" s="30">
        <v>5119.6099999999997</v>
      </c>
      <c r="N47" s="30">
        <f t="shared" si="3"/>
        <v>7880.39</v>
      </c>
      <c r="O47" s="40">
        <f t="shared" si="7"/>
        <v>1.6215006024428639E-3</v>
      </c>
    </row>
    <row r="48" spans="1:15" ht="15.95" customHeight="1" x14ac:dyDescent="0.2">
      <c r="A48" s="43" t="s">
        <v>100</v>
      </c>
      <c r="B48" s="31" t="s">
        <v>167</v>
      </c>
      <c r="C48" s="30">
        <v>14250</v>
      </c>
      <c r="D48" s="30"/>
      <c r="E48" s="30"/>
      <c r="F48" s="46">
        <v>1225</v>
      </c>
      <c r="G48" s="46">
        <v>1325</v>
      </c>
      <c r="H48" s="30"/>
      <c r="I48" s="30"/>
      <c r="J48" s="46"/>
      <c r="K48" s="46"/>
      <c r="L48" s="30">
        <f>C48+D48-E48+F48-G48+H48-I48+J48-K48</f>
        <v>14150</v>
      </c>
      <c r="M48" s="30">
        <v>4127.3500000000004</v>
      </c>
      <c r="N48" s="30">
        <f t="shared" si="3"/>
        <v>10022.65</v>
      </c>
      <c r="O48" s="40">
        <f t="shared" si="7"/>
        <v>1.3072285802028974E-3</v>
      </c>
    </row>
    <row r="49" spans="1:15" ht="15.95" customHeight="1" x14ac:dyDescent="0.2">
      <c r="A49" s="43" t="s">
        <v>101</v>
      </c>
      <c r="B49" s="31" t="s">
        <v>168</v>
      </c>
      <c r="C49" s="30">
        <v>1176868.53</v>
      </c>
      <c r="D49" s="30"/>
      <c r="E49" s="30">
        <v>129000</v>
      </c>
      <c r="F49" s="46"/>
      <c r="G49" s="46">
        <v>675646</v>
      </c>
      <c r="H49" s="30"/>
      <c r="I49" s="30"/>
      <c r="J49" s="46"/>
      <c r="K49" s="46"/>
      <c r="L49" s="30">
        <f t="shared" si="6"/>
        <v>372222.53</v>
      </c>
      <c r="M49" s="30">
        <v>313940.34999999998</v>
      </c>
      <c r="N49" s="30">
        <f t="shared" si="3"/>
        <v>58282.180000000051</v>
      </c>
      <c r="O49" s="40">
        <f t="shared" si="7"/>
        <v>9.9432274461555378E-2</v>
      </c>
    </row>
    <row r="50" spans="1:15" ht="15.95" customHeight="1" x14ac:dyDescent="0.2">
      <c r="A50" s="43" t="s">
        <v>102</v>
      </c>
      <c r="B50" s="31" t="s">
        <v>55</v>
      </c>
      <c r="C50" s="30">
        <v>619609.80000000005</v>
      </c>
      <c r="D50" s="30"/>
      <c r="E50" s="30"/>
      <c r="F50" s="46"/>
      <c r="G50" s="46">
        <v>452038.22</v>
      </c>
      <c r="H50" s="30"/>
      <c r="I50" s="30"/>
      <c r="J50" s="46">
        <v>25000</v>
      </c>
      <c r="K50" s="46"/>
      <c r="L50" s="30">
        <f t="shared" si="6"/>
        <v>192571.58000000007</v>
      </c>
      <c r="M50" s="30">
        <v>134059.79</v>
      </c>
      <c r="N50" s="30">
        <f t="shared" si="3"/>
        <v>58511.790000000066</v>
      </c>
      <c r="O50" s="40">
        <f t="shared" si="7"/>
        <v>4.245988078161498E-2</v>
      </c>
    </row>
    <row r="51" spans="1:15" ht="15.95" customHeight="1" x14ac:dyDescent="0.2">
      <c r="A51" s="43" t="s">
        <v>103</v>
      </c>
      <c r="B51" s="31" t="s">
        <v>169</v>
      </c>
      <c r="C51" s="30">
        <v>504047.6</v>
      </c>
      <c r="D51" s="30"/>
      <c r="E51" s="30"/>
      <c r="F51" s="46"/>
      <c r="G51" s="46">
        <v>287247.59999999998</v>
      </c>
      <c r="H51" s="30"/>
      <c r="I51" s="30"/>
      <c r="J51" s="46"/>
      <c r="K51" s="46"/>
      <c r="L51" s="30">
        <f t="shared" si="6"/>
        <v>216800</v>
      </c>
      <c r="M51" s="30">
        <v>184748.17</v>
      </c>
      <c r="N51" s="30">
        <f t="shared" si="3"/>
        <v>32051.829999999987</v>
      </c>
      <c r="O51" s="40">
        <f t="shared" si="7"/>
        <v>5.8514079970000972E-2</v>
      </c>
    </row>
    <row r="52" spans="1:15" ht="15.95" customHeight="1" x14ac:dyDescent="0.2">
      <c r="A52" s="43" t="s">
        <v>104</v>
      </c>
      <c r="B52" s="31" t="s">
        <v>56</v>
      </c>
      <c r="C52" s="30">
        <v>20750</v>
      </c>
      <c r="D52" s="30"/>
      <c r="E52" s="30"/>
      <c r="F52" s="46">
        <v>8000</v>
      </c>
      <c r="G52" s="46"/>
      <c r="H52" s="30">
        <v>100000</v>
      </c>
      <c r="I52" s="30"/>
      <c r="J52" s="46"/>
      <c r="K52" s="46">
        <v>25000</v>
      </c>
      <c r="L52" s="30">
        <f t="shared" si="6"/>
        <v>103750</v>
      </c>
      <c r="M52" s="30">
        <v>46144.58</v>
      </c>
      <c r="N52" s="30">
        <f t="shared" si="3"/>
        <v>57605.42</v>
      </c>
      <c r="O52" s="40">
        <f t="shared" si="7"/>
        <v>1.4615071122502092E-2</v>
      </c>
    </row>
    <row r="53" spans="1:15" ht="15.95" customHeight="1" x14ac:dyDescent="0.2">
      <c r="A53" s="43" t="s">
        <v>105</v>
      </c>
      <c r="B53" s="31" t="s">
        <v>57</v>
      </c>
      <c r="C53" s="30">
        <v>42500</v>
      </c>
      <c r="D53" s="30"/>
      <c r="E53" s="30"/>
      <c r="F53" s="46">
        <v>42500</v>
      </c>
      <c r="G53" s="46"/>
      <c r="H53" s="30"/>
      <c r="I53" s="30"/>
      <c r="J53" s="46"/>
      <c r="K53" s="46"/>
      <c r="L53" s="30">
        <f t="shared" si="6"/>
        <v>85000</v>
      </c>
      <c r="M53" s="30">
        <v>5200</v>
      </c>
      <c r="N53" s="30">
        <f t="shared" si="3"/>
        <v>79800</v>
      </c>
      <c r="O53" s="40">
        <f t="shared" si="7"/>
        <v>1.6469620015397448E-3</v>
      </c>
    </row>
    <row r="54" spans="1:15" ht="15.95" customHeight="1" x14ac:dyDescent="0.2">
      <c r="A54" s="43" t="s">
        <v>106</v>
      </c>
      <c r="B54" s="31" t="s">
        <v>58</v>
      </c>
      <c r="C54" s="30">
        <v>4400</v>
      </c>
      <c r="D54" s="30"/>
      <c r="E54" s="30"/>
      <c r="F54" s="46"/>
      <c r="G54" s="46"/>
      <c r="H54" s="30"/>
      <c r="I54" s="30"/>
      <c r="J54" s="46"/>
      <c r="K54" s="46"/>
      <c r="L54" s="30">
        <f t="shared" si="6"/>
        <v>4400</v>
      </c>
      <c r="M54" s="30">
        <v>1620</v>
      </c>
      <c r="N54" s="30">
        <f t="shared" si="3"/>
        <v>2780</v>
      </c>
      <c r="O54" s="40">
        <f t="shared" si="7"/>
        <v>5.1309200817199741E-4</v>
      </c>
    </row>
    <row r="55" spans="1:15" ht="15.95" customHeight="1" x14ac:dyDescent="0.2">
      <c r="A55" s="43" t="s">
        <v>107</v>
      </c>
      <c r="B55" s="31" t="s">
        <v>170</v>
      </c>
      <c r="C55" s="30">
        <v>3004.32</v>
      </c>
      <c r="D55" s="30"/>
      <c r="E55" s="30"/>
      <c r="F55" s="46"/>
      <c r="G55" s="46"/>
      <c r="H55" s="30"/>
      <c r="I55" s="30"/>
      <c r="J55" s="46"/>
      <c r="K55" s="46"/>
      <c r="L55" s="30">
        <f t="shared" si="6"/>
        <v>3004.32</v>
      </c>
      <c r="M55" s="30">
        <v>630</v>
      </c>
      <c r="N55" s="30">
        <f t="shared" si="3"/>
        <v>2374.3200000000002</v>
      </c>
      <c r="O55" s="40">
        <f t="shared" si="7"/>
        <v>1.9953578095577678E-4</v>
      </c>
    </row>
    <row r="56" spans="1:15" ht="15.95" customHeight="1" x14ac:dyDescent="0.2">
      <c r="A56" s="43" t="s">
        <v>108</v>
      </c>
      <c r="B56" s="31" t="s">
        <v>171</v>
      </c>
      <c r="C56" s="30">
        <v>7750</v>
      </c>
      <c r="D56" s="30"/>
      <c r="E56" s="30"/>
      <c r="F56" s="46">
        <v>20000</v>
      </c>
      <c r="G56" s="46"/>
      <c r="H56" s="30"/>
      <c r="I56" s="30"/>
      <c r="J56" s="46"/>
      <c r="K56" s="46"/>
      <c r="L56" s="30">
        <f t="shared" si="6"/>
        <v>27750</v>
      </c>
      <c r="M56" s="30">
        <v>4500</v>
      </c>
      <c r="N56" s="30">
        <f t="shared" si="3"/>
        <v>23250</v>
      </c>
      <c r="O56" s="40">
        <f t="shared" si="7"/>
        <v>1.4252555782555483E-3</v>
      </c>
    </row>
    <row r="57" spans="1:15" ht="15.95" customHeight="1" x14ac:dyDescent="0.2">
      <c r="A57" s="43" t="s">
        <v>109</v>
      </c>
      <c r="B57" s="31" t="s">
        <v>172</v>
      </c>
      <c r="C57" s="30">
        <v>7000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7000</v>
      </c>
      <c r="M57" s="30">
        <v>263.2</v>
      </c>
      <c r="N57" s="30">
        <f t="shared" si="3"/>
        <v>6736.8</v>
      </c>
      <c r="O57" s="40">
        <f t="shared" si="7"/>
        <v>8.3361615154857842E-5</v>
      </c>
    </row>
    <row r="58" spans="1:15" ht="15.95" customHeight="1" x14ac:dyDescent="0.2">
      <c r="A58" s="43" t="s">
        <v>110</v>
      </c>
      <c r="B58" s="31" t="s">
        <v>173</v>
      </c>
      <c r="C58" s="30">
        <v>4000</v>
      </c>
      <c r="D58" s="30"/>
      <c r="E58" s="30"/>
      <c r="F58" s="46">
        <v>3000</v>
      </c>
      <c r="G58" s="46"/>
      <c r="H58" s="30"/>
      <c r="I58" s="30"/>
      <c r="J58" s="46"/>
      <c r="K58" s="46"/>
      <c r="L58" s="30">
        <f t="shared" si="6"/>
        <v>7000</v>
      </c>
      <c r="M58" s="30">
        <v>3420</v>
      </c>
      <c r="N58" s="30">
        <f t="shared" si="3"/>
        <v>3580</v>
      </c>
      <c r="O58" s="40">
        <f t="shared" si="7"/>
        <v>1.0831942394742167E-3</v>
      </c>
    </row>
    <row r="59" spans="1:15" ht="15.95" hidden="1" customHeight="1" x14ac:dyDescent="0.2">
      <c r="A59" s="43" t="s">
        <v>111</v>
      </c>
      <c r="B59" s="31" t="s">
        <v>174</v>
      </c>
      <c r="C59" s="30"/>
      <c r="D59" s="30"/>
      <c r="E59" s="30"/>
      <c r="F59" s="46"/>
      <c r="G59" s="46"/>
      <c r="H59" s="30"/>
      <c r="I59" s="30"/>
      <c r="J59" s="46"/>
      <c r="K59" s="46"/>
      <c r="L59" s="30">
        <f t="shared" si="6"/>
        <v>0</v>
      </c>
      <c r="M59" s="30">
        <v>0</v>
      </c>
      <c r="N59" s="30">
        <f t="shared" si="3"/>
        <v>0</v>
      </c>
      <c r="O59" s="40">
        <f t="shared" si="7"/>
        <v>0</v>
      </c>
    </row>
    <row r="60" spans="1:15" ht="15.95" customHeight="1" x14ac:dyDescent="0.2">
      <c r="A60" s="43">
        <v>169</v>
      </c>
      <c r="B60" s="31" t="s">
        <v>271</v>
      </c>
      <c r="C60" s="30"/>
      <c r="D60" s="30"/>
      <c r="E60" s="30"/>
      <c r="F60" s="46">
        <v>10000</v>
      </c>
      <c r="G60" s="46"/>
      <c r="H60" s="30"/>
      <c r="I60" s="30"/>
      <c r="J60" s="46"/>
      <c r="K60" s="46"/>
      <c r="L60" s="30">
        <f t="shared" si="6"/>
        <v>10000</v>
      </c>
      <c r="M60" s="30"/>
      <c r="N60" s="30">
        <f t="shared" si="3"/>
        <v>10000</v>
      </c>
      <c r="O60" s="40"/>
    </row>
    <row r="61" spans="1:15" ht="15.95" customHeight="1" x14ac:dyDescent="0.2">
      <c r="A61" s="43">
        <v>171</v>
      </c>
      <c r="B61" s="31" t="s">
        <v>174</v>
      </c>
      <c r="C61" s="30"/>
      <c r="D61" s="30"/>
      <c r="E61" s="30"/>
      <c r="F61" s="46">
        <v>225000</v>
      </c>
      <c r="G61" s="46"/>
      <c r="H61" s="30"/>
      <c r="I61" s="30"/>
      <c r="J61" s="46"/>
      <c r="K61" s="46"/>
      <c r="L61" s="30">
        <f t="shared" si="6"/>
        <v>225000</v>
      </c>
      <c r="M61" s="30"/>
      <c r="N61" s="30">
        <f t="shared" si="3"/>
        <v>225000</v>
      </c>
      <c r="O61" s="40"/>
    </row>
    <row r="62" spans="1:15" ht="15.95" customHeight="1" x14ac:dyDescent="0.2">
      <c r="A62" s="43" t="s">
        <v>112</v>
      </c>
      <c r="B62" s="31" t="s">
        <v>175</v>
      </c>
      <c r="C62" s="30">
        <v>9750</v>
      </c>
      <c r="D62" s="30"/>
      <c r="E62" s="30"/>
      <c r="F62" s="46">
        <v>25000</v>
      </c>
      <c r="G62" s="46"/>
      <c r="H62" s="30"/>
      <c r="I62" s="30"/>
      <c r="J62" s="46"/>
      <c r="K62" s="46"/>
      <c r="L62" s="30">
        <f t="shared" si="6"/>
        <v>34750</v>
      </c>
      <c r="M62" s="30">
        <v>0</v>
      </c>
      <c r="N62" s="30">
        <f t="shared" si="3"/>
        <v>34750</v>
      </c>
      <c r="O62" s="40">
        <f t="shared" ref="O62:O77" si="8">M62/$M$136</f>
        <v>0</v>
      </c>
    </row>
    <row r="63" spans="1:15" ht="15.95" customHeight="1" x14ac:dyDescent="0.2">
      <c r="A63" s="43" t="s">
        <v>113</v>
      </c>
      <c r="B63" s="31" t="s">
        <v>176</v>
      </c>
      <c r="C63" s="30">
        <v>260706.83</v>
      </c>
      <c r="D63" s="30"/>
      <c r="E63" s="30"/>
      <c r="F63" s="46"/>
      <c r="G63" s="46"/>
      <c r="H63" s="30"/>
      <c r="I63" s="30"/>
      <c r="J63" s="46"/>
      <c r="K63" s="46"/>
      <c r="L63" s="30">
        <f t="shared" si="6"/>
        <v>260706.83</v>
      </c>
      <c r="M63" s="30">
        <v>0</v>
      </c>
      <c r="N63" s="30">
        <f t="shared" si="3"/>
        <v>260706.83</v>
      </c>
      <c r="O63" s="40">
        <f t="shared" si="8"/>
        <v>0</v>
      </c>
    </row>
    <row r="64" spans="1:15" ht="15.95" customHeight="1" x14ac:dyDescent="0.2">
      <c r="A64" s="43">
        <v>182</v>
      </c>
      <c r="B64" s="31" t="s">
        <v>255</v>
      </c>
      <c r="C64" s="30">
        <v>0</v>
      </c>
      <c r="D64" s="30">
        <v>2500</v>
      </c>
      <c r="E64" s="30"/>
      <c r="F64" s="46"/>
      <c r="G64" s="46"/>
      <c r="H64" s="30"/>
      <c r="I64" s="30"/>
      <c r="J64" s="46"/>
      <c r="K64" s="46"/>
      <c r="L64" s="30">
        <f t="shared" si="6"/>
        <v>2500</v>
      </c>
      <c r="M64" s="30">
        <v>0</v>
      </c>
      <c r="N64" s="30">
        <f t="shared" si="3"/>
        <v>2500</v>
      </c>
      <c r="O64" s="40">
        <f t="shared" si="8"/>
        <v>0</v>
      </c>
    </row>
    <row r="65" spans="1:15" ht="15.95" customHeight="1" x14ac:dyDescent="0.2">
      <c r="A65" s="43" t="s">
        <v>114</v>
      </c>
      <c r="B65" s="31" t="s">
        <v>177</v>
      </c>
      <c r="C65" s="30">
        <v>15000</v>
      </c>
      <c r="D65" s="30">
        <v>12000</v>
      </c>
      <c r="E65" s="30"/>
      <c r="F65" s="46"/>
      <c r="G65" s="46"/>
      <c r="H65" s="30"/>
      <c r="I65" s="30"/>
      <c r="J65" s="46"/>
      <c r="K65" s="46"/>
      <c r="L65" s="30">
        <f t="shared" si="6"/>
        <v>27000</v>
      </c>
      <c r="M65" s="30">
        <v>5650</v>
      </c>
      <c r="N65" s="30">
        <f t="shared" si="3"/>
        <v>21350</v>
      </c>
      <c r="O65" s="40">
        <f t="shared" si="8"/>
        <v>1.7894875593652997E-3</v>
      </c>
    </row>
    <row r="66" spans="1:15" ht="15.95" customHeight="1" x14ac:dyDescent="0.2">
      <c r="A66" s="43" t="s">
        <v>115</v>
      </c>
      <c r="B66" s="31" t="s">
        <v>178</v>
      </c>
      <c r="C66" s="30">
        <v>54000</v>
      </c>
      <c r="D66" s="30"/>
      <c r="E66" s="30"/>
      <c r="F66" s="46"/>
      <c r="G66" s="46"/>
      <c r="H66" s="30"/>
      <c r="I66" s="30"/>
      <c r="J66" s="46"/>
      <c r="K66" s="46"/>
      <c r="L66" s="30">
        <f t="shared" si="6"/>
        <v>54000</v>
      </c>
      <c r="M66" s="30">
        <v>54000</v>
      </c>
      <c r="N66" s="30">
        <f t="shared" si="3"/>
        <v>0</v>
      </c>
      <c r="O66" s="40">
        <f t="shared" si="8"/>
        <v>1.7103066939066582E-2</v>
      </c>
    </row>
    <row r="67" spans="1:15" ht="15.95" customHeight="1" x14ac:dyDescent="0.2">
      <c r="A67" s="43" t="s">
        <v>116</v>
      </c>
      <c r="B67" s="31" t="s">
        <v>59</v>
      </c>
      <c r="C67" s="30">
        <v>7500</v>
      </c>
      <c r="D67" s="30"/>
      <c r="E67" s="30"/>
      <c r="F67" s="46"/>
      <c r="G67" s="46"/>
      <c r="H67" s="30"/>
      <c r="I67" s="30"/>
      <c r="J67" s="46"/>
      <c r="K67" s="46"/>
      <c r="L67" s="30">
        <f t="shared" si="6"/>
        <v>7500</v>
      </c>
      <c r="M67" s="30">
        <v>500</v>
      </c>
      <c r="N67" s="30">
        <f t="shared" si="3"/>
        <v>7000</v>
      </c>
      <c r="O67" s="40">
        <f t="shared" si="8"/>
        <v>1.5836173091728314E-4</v>
      </c>
    </row>
    <row r="68" spans="1:15" ht="15.95" customHeight="1" x14ac:dyDescent="0.2">
      <c r="A68" s="43" t="s">
        <v>117</v>
      </c>
      <c r="B68" s="31" t="s">
        <v>179</v>
      </c>
      <c r="C68" s="30">
        <v>24540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24540</v>
      </c>
      <c r="M68" s="30">
        <v>13642</v>
      </c>
      <c r="N68" s="30">
        <f t="shared" si="3"/>
        <v>10898</v>
      </c>
      <c r="O68" s="40">
        <f t="shared" si="8"/>
        <v>4.3207414663471539E-3</v>
      </c>
    </row>
    <row r="69" spans="1:15" ht="15.95" customHeight="1" x14ac:dyDescent="0.2">
      <c r="A69" s="43" t="s">
        <v>118</v>
      </c>
      <c r="B69" s="31" t="s">
        <v>180</v>
      </c>
      <c r="C69" s="30">
        <v>8000</v>
      </c>
      <c r="D69" s="30"/>
      <c r="E69" s="30"/>
      <c r="F69" s="46">
        <v>1836</v>
      </c>
      <c r="G69" s="46">
        <v>4400</v>
      </c>
      <c r="H69" s="30"/>
      <c r="I69" s="30"/>
      <c r="J69" s="46"/>
      <c r="K69" s="46"/>
      <c r="L69" s="30">
        <f t="shared" si="6"/>
        <v>5436</v>
      </c>
      <c r="M69" s="30">
        <v>4000</v>
      </c>
      <c r="N69" s="30">
        <f t="shared" si="3"/>
        <v>1436</v>
      </c>
      <c r="O69" s="40">
        <f t="shared" si="8"/>
        <v>1.2668938473382651E-3</v>
      </c>
    </row>
    <row r="70" spans="1:15" ht="15.95" customHeight="1" x14ac:dyDescent="0.2">
      <c r="A70" s="43" t="s">
        <v>119</v>
      </c>
      <c r="B70" s="31" t="s">
        <v>181</v>
      </c>
      <c r="C70" s="30">
        <v>8000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8000</v>
      </c>
      <c r="M70" s="30">
        <v>0</v>
      </c>
      <c r="N70" s="30">
        <f t="shared" si="3"/>
        <v>8000</v>
      </c>
      <c r="O70" s="40">
        <f t="shared" si="8"/>
        <v>0</v>
      </c>
    </row>
    <row r="71" spans="1:15" ht="15.95" customHeight="1" x14ac:dyDescent="0.2">
      <c r="A71" s="43" t="s">
        <v>120</v>
      </c>
      <c r="B71" s="31" t="s">
        <v>60</v>
      </c>
      <c r="C71" s="30">
        <v>225800</v>
      </c>
      <c r="D71" s="30">
        <v>17000</v>
      </c>
      <c r="E71" s="30"/>
      <c r="F71" s="46"/>
      <c r="G71" s="46">
        <v>1300</v>
      </c>
      <c r="H71" s="30"/>
      <c r="I71" s="30"/>
      <c r="J71" s="46"/>
      <c r="K71" s="46"/>
      <c r="L71" s="30">
        <f t="shared" si="6"/>
        <v>241500</v>
      </c>
      <c r="M71" s="30">
        <v>236025</v>
      </c>
      <c r="N71" s="30">
        <f t="shared" si="3"/>
        <v>5475</v>
      </c>
      <c r="O71" s="40">
        <f t="shared" si="8"/>
        <v>7.4754655079503518E-2</v>
      </c>
    </row>
    <row r="72" spans="1:15" ht="15.95" customHeight="1" x14ac:dyDescent="0.2">
      <c r="A72" s="43" t="s">
        <v>121</v>
      </c>
      <c r="B72" s="31" t="s">
        <v>182</v>
      </c>
      <c r="C72" s="30">
        <v>8250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8250</v>
      </c>
      <c r="M72" s="30">
        <v>4888.78</v>
      </c>
      <c r="N72" s="30">
        <f t="shared" si="3"/>
        <v>3361.2200000000003</v>
      </c>
      <c r="O72" s="40">
        <f t="shared" si="8"/>
        <v>1.5483913257475909E-3</v>
      </c>
    </row>
    <row r="73" spans="1:15" ht="15.95" customHeight="1" x14ac:dyDescent="0.2">
      <c r="A73" s="43" t="s">
        <v>122</v>
      </c>
      <c r="B73" s="31" t="s">
        <v>183</v>
      </c>
      <c r="C73" s="30">
        <v>2500</v>
      </c>
      <c r="D73" s="30"/>
      <c r="E73" s="30"/>
      <c r="F73" s="46"/>
      <c r="G73" s="46"/>
      <c r="H73" s="30"/>
      <c r="I73" s="30"/>
      <c r="J73" s="46"/>
      <c r="K73" s="46"/>
      <c r="L73" s="30">
        <f t="shared" si="6"/>
        <v>2500</v>
      </c>
      <c r="M73" s="30">
        <v>2116.86</v>
      </c>
      <c r="N73" s="30">
        <f t="shared" si="3"/>
        <v>383.13999999999987</v>
      </c>
      <c r="O73" s="40">
        <f t="shared" si="8"/>
        <v>6.7045922741912009E-4</v>
      </c>
    </row>
    <row r="74" spans="1:15" ht="15.95" customHeight="1" x14ac:dyDescent="0.2">
      <c r="A74" s="43" t="s">
        <v>123</v>
      </c>
      <c r="B74" s="31" t="s">
        <v>61</v>
      </c>
      <c r="C74" s="30">
        <v>7000</v>
      </c>
      <c r="D74" s="30"/>
      <c r="E74" s="30"/>
      <c r="F74" s="46">
        <v>50000</v>
      </c>
      <c r="G74" s="46"/>
      <c r="H74" s="30"/>
      <c r="I74" s="30"/>
      <c r="J74" s="46"/>
      <c r="K74" s="46"/>
      <c r="L74" s="30">
        <f t="shared" si="6"/>
        <v>57000</v>
      </c>
      <c r="M74" s="30">
        <v>51177.14</v>
      </c>
      <c r="N74" s="30">
        <f t="shared" si="3"/>
        <v>5822.8600000000006</v>
      </c>
      <c r="O74" s="40">
        <f t="shared" si="8"/>
        <v>1.6209000947592256E-2</v>
      </c>
    </row>
    <row r="75" spans="1:15" ht="15.95" customHeight="1" x14ac:dyDescent="0.2">
      <c r="A75" s="43" t="s">
        <v>124</v>
      </c>
      <c r="B75" s="31" t="s">
        <v>184</v>
      </c>
      <c r="C75" s="30">
        <v>2000</v>
      </c>
      <c r="D75" s="30"/>
      <c r="E75" s="30"/>
      <c r="F75" s="46"/>
      <c r="G75" s="46"/>
      <c r="H75" s="30"/>
      <c r="I75" s="30"/>
      <c r="J75" s="46"/>
      <c r="K75" s="46"/>
      <c r="L75" s="30">
        <f t="shared" si="6"/>
        <v>2000</v>
      </c>
      <c r="M75" s="30">
        <v>0</v>
      </c>
      <c r="N75" s="30">
        <f t="shared" si="3"/>
        <v>2000</v>
      </c>
      <c r="O75" s="40">
        <f t="shared" si="8"/>
        <v>0</v>
      </c>
    </row>
    <row r="76" spans="1:15" ht="15.95" customHeight="1" x14ac:dyDescent="0.2">
      <c r="A76" s="43" t="s">
        <v>185</v>
      </c>
      <c r="B76" s="31" t="s">
        <v>157</v>
      </c>
      <c r="C76" s="30">
        <v>89500</v>
      </c>
      <c r="D76" s="30"/>
      <c r="E76" s="30"/>
      <c r="F76" s="46"/>
      <c r="G76" s="46"/>
      <c r="H76" s="30">
        <v>35000</v>
      </c>
      <c r="I76" s="30"/>
      <c r="J76" s="46"/>
      <c r="K76" s="46"/>
      <c r="L76" s="30">
        <f t="shared" si="6"/>
        <v>124500</v>
      </c>
      <c r="M76" s="30">
        <v>89550</v>
      </c>
      <c r="N76" s="30">
        <f t="shared" si="3"/>
        <v>34950</v>
      </c>
      <c r="O76" s="40">
        <f t="shared" si="8"/>
        <v>2.8362586007285414E-2</v>
      </c>
    </row>
    <row r="77" spans="1:15" ht="15.95" customHeight="1" x14ac:dyDescent="0.2">
      <c r="A77" s="43" t="s">
        <v>125</v>
      </c>
      <c r="B77" s="31" t="s">
        <v>186</v>
      </c>
      <c r="C77" s="30">
        <v>21000</v>
      </c>
      <c r="D77" s="30">
        <v>3500</v>
      </c>
      <c r="E77" s="30"/>
      <c r="F77" s="46">
        <f>15000+100000</f>
        <v>115000</v>
      </c>
      <c r="G77" s="46">
        <v>6000</v>
      </c>
      <c r="H77" s="30"/>
      <c r="I77" s="30"/>
      <c r="J77" s="46"/>
      <c r="K77" s="46"/>
      <c r="L77" s="30">
        <f t="shared" si="6"/>
        <v>133500</v>
      </c>
      <c r="M77" s="30">
        <v>31324.09</v>
      </c>
      <c r="N77" s="30">
        <f t="shared" si="3"/>
        <v>102175.91</v>
      </c>
      <c r="O77" s="40">
        <f t="shared" si="8"/>
        <v>9.9210742236175205E-3</v>
      </c>
    </row>
    <row r="78" spans="1:15" ht="15.95" customHeight="1" x14ac:dyDescent="0.2">
      <c r="A78" s="43"/>
      <c r="B78" s="31"/>
      <c r="C78" s="30"/>
      <c r="D78" s="30"/>
      <c r="E78" s="30"/>
      <c r="F78" s="46"/>
      <c r="G78" s="46"/>
      <c r="H78" s="30"/>
      <c r="I78" s="30"/>
      <c r="J78" s="46"/>
      <c r="K78" s="46"/>
      <c r="L78" s="30"/>
      <c r="M78" s="30"/>
      <c r="N78" s="30"/>
      <c r="O78" s="40"/>
    </row>
    <row r="79" spans="1:15" ht="15.95" customHeight="1" x14ac:dyDescent="0.2">
      <c r="A79" s="43"/>
      <c r="B79" s="31"/>
      <c r="C79" s="30"/>
      <c r="D79" s="30"/>
      <c r="E79" s="30"/>
      <c r="F79" s="46"/>
      <c r="G79" s="46"/>
      <c r="H79" s="30"/>
      <c r="I79" s="30"/>
      <c r="J79" s="46"/>
      <c r="K79" s="46"/>
      <c r="L79" s="30"/>
      <c r="M79" s="30"/>
      <c r="N79" s="30"/>
      <c r="O79" s="40"/>
    </row>
    <row r="80" spans="1:15" ht="15.95" customHeight="1" x14ac:dyDescent="0.25">
      <c r="A80" s="41">
        <v>2</v>
      </c>
      <c r="B80" s="42" t="s">
        <v>62</v>
      </c>
      <c r="C80" s="28"/>
      <c r="D80" s="30"/>
      <c r="E80" s="30"/>
      <c r="F80" s="46"/>
      <c r="G80" s="46"/>
      <c r="H80" s="30"/>
      <c r="I80" s="30"/>
      <c r="J80" s="46"/>
      <c r="K80" s="46"/>
      <c r="L80" s="30"/>
      <c r="M80" s="30"/>
      <c r="N80" s="30"/>
      <c r="O80" s="40"/>
    </row>
    <row r="81" spans="1:15" ht="15.95" customHeight="1" x14ac:dyDescent="0.2">
      <c r="A81" s="43" t="s">
        <v>126</v>
      </c>
      <c r="B81" s="31" t="s">
        <v>63</v>
      </c>
      <c r="C81" s="30">
        <v>114414.1</v>
      </c>
      <c r="D81" s="30"/>
      <c r="E81" s="30"/>
      <c r="F81" s="46"/>
      <c r="G81" s="46">
        <v>29550.1</v>
      </c>
      <c r="H81" s="30"/>
      <c r="I81" s="30"/>
      <c r="J81" s="46"/>
      <c r="K81" s="46"/>
      <c r="L81" s="30">
        <f t="shared" ref="L81:L117" si="9">C81+D81-E81+F81-G81+H81-I81+J81-K81</f>
        <v>84864</v>
      </c>
      <c r="M81" s="30">
        <v>28392.720000000001</v>
      </c>
      <c r="N81" s="30">
        <f t="shared" si="3"/>
        <v>56471.28</v>
      </c>
      <c r="O81" s="40">
        <f t="shared" ref="O81:O117" si="10">M81/$M$136</f>
        <v>8.9926405692995273E-3</v>
      </c>
    </row>
    <row r="82" spans="1:15" ht="15.95" hidden="1" customHeight="1" x14ac:dyDescent="0.2">
      <c r="A82" s="43">
        <v>214</v>
      </c>
      <c r="B82" s="31" t="s">
        <v>198</v>
      </c>
      <c r="C82" s="30"/>
      <c r="D82" s="30"/>
      <c r="E82" s="30"/>
      <c r="F82" s="46"/>
      <c r="G82" s="46"/>
      <c r="H82" s="30"/>
      <c r="I82" s="30"/>
      <c r="J82" s="46"/>
      <c r="K82" s="46"/>
      <c r="L82" s="30">
        <f t="shared" si="9"/>
        <v>0</v>
      </c>
      <c r="M82" s="30">
        <v>0</v>
      </c>
      <c r="N82" s="30">
        <f t="shared" si="3"/>
        <v>0</v>
      </c>
      <c r="O82" s="40">
        <f t="shared" si="10"/>
        <v>0</v>
      </c>
    </row>
    <row r="83" spans="1:15" ht="15.95" customHeight="1" x14ac:dyDescent="0.2">
      <c r="A83" s="43">
        <v>223</v>
      </c>
      <c r="B83" s="31" t="s">
        <v>199</v>
      </c>
      <c r="C83" s="30">
        <v>0</v>
      </c>
      <c r="D83" s="30">
        <v>1500</v>
      </c>
      <c r="E83" s="30"/>
      <c r="F83" s="46">
        <v>2000</v>
      </c>
      <c r="G83" s="46"/>
      <c r="H83" s="30"/>
      <c r="I83" s="30"/>
      <c r="J83" s="46"/>
      <c r="K83" s="46"/>
      <c r="L83" s="30">
        <f t="shared" si="9"/>
        <v>3500</v>
      </c>
      <c r="M83" s="30">
        <v>100</v>
      </c>
      <c r="N83" s="30">
        <f t="shared" si="3"/>
        <v>3400</v>
      </c>
      <c r="O83" s="40">
        <f t="shared" si="10"/>
        <v>3.1672346183456627E-5</v>
      </c>
    </row>
    <row r="84" spans="1:15" ht="15.95" hidden="1" customHeight="1" x14ac:dyDescent="0.2">
      <c r="A84" s="43">
        <v>229</v>
      </c>
      <c r="B84" s="31" t="s">
        <v>200</v>
      </c>
      <c r="C84" s="30"/>
      <c r="D84" s="30"/>
      <c r="E84" s="30"/>
      <c r="F84" s="46"/>
      <c r="G84" s="46"/>
      <c r="H84" s="30"/>
      <c r="I84" s="30"/>
      <c r="J84" s="46"/>
      <c r="K84" s="46"/>
      <c r="L84" s="30">
        <f t="shared" si="9"/>
        <v>0</v>
      </c>
      <c r="M84" s="30">
        <v>0</v>
      </c>
      <c r="N84" s="30">
        <f t="shared" si="3"/>
        <v>0</v>
      </c>
      <c r="O84" s="40">
        <f t="shared" si="10"/>
        <v>0</v>
      </c>
    </row>
    <row r="85" spans="1:15" ht="15.95" customHeight="1" x14ac:dyDescent="0.2">
      <c r="A85" s="43" t="s">
        <v>127</v>
      </c>
      <c r="B85" s="31" t="s">
        <v>64</v>
      </c>
      <c r="C85" s="30">
        <v>2750</v>
      </c>
      <c r="D85" s="30"/>
      <c r="E85" s="30"/>
      <c r="F85" s="46">
        <v>5000</v>
      </c>
      <c r="G85" s="46"/>
      <c r="H85" s="30"/>
      <c r="I85" s="30"/>
      <c r="J85" s="46"/>
      <c r="K85" s="46"/>
      <c r="L85" s="30">
        <f t="shared" si="9"/>
        <v>7750</v>
      </c>
      <c r="M85" s="30">
        <v>1401.57</v>
      </c>
      <c r="N85" s="30">
        <f t="shared" si="3"/>
        <v>6348.43</v>
      </c>
      <c r="O85" s="40">
        <f t="shared" si="10"/>
        <v>4.4391010240347307E-4</v>
      </c>
    </row>
    <row r="86" spans="1:15" ht="15.95" customHeight="1" x14ac:dyDescent="0.2">
      <c r="A86" s="43" t="s">
        <v>128</v>
      </c>
      <c r="B86" s="31" t="s">
        <v>65</v>
      </c>
      <c r="C86" s="30">
        <v>16800</v>
      </c>
      <c r="D86" s="30"/>
      <c r="E86" s="30"/>
      <c r="F86" s="46">
        <v>10000</v>
      </c>
      <c r="G86" s="46"/>
      <c r="H86" s="30"/>
      <c r="I86" s="30"/>
      <c r="J86" s="46"/>
      <c r="K86" s="46"/>
      <c r="L86" s="30">
        <f t="shared" si="9"/>
        <v>26800</v>
      </c>
      <c r="M86" s="30">
        <v>3008</v>
      </c>
      <c r="N86" s="30">
        <f t="shared" si="3"/>
        <v>23792</v>
      </c>
      <c r="O86" s="40">
        <f t="shared" si="10"/>
        <v>9.5270417319837542E-4</v>
      </c>
    </row>
    <row r="87" spans="1:15" ht="15.95" customHeight="1" x14ac:dyDescent="0.2">
      <c r="A87" s="43" t="s">
        <v>129</v>
      </c>
      <c r="B87" s="31" t="s">
        <v>66</v>
      </c>
      <c r="C87" s="30">
        <v>5250</v>
      </c>
      <c r="D87" s="30"/>
      <c r="E87" s="30"/>
      <c r="F87" s="46">
        <v>10000</v>
      </c>
      <c r="G87" s="46"/>
      <c r="H87" s="30"/>
      <c r="I87" s="30"/>
      <c r="J87" s="46"/>
      <c r="K87" s="46"/>
      <c r="L87" s="30">
        <f t="shared" si="9"/>
        <v>15250</v>
      </c>
      <c r="M87" s="30">
        <v>2682.65</v>
      </c>
      <c r="N87" s="30">
        <f t="shared" si="3"/>
        <v>12567.35</v>
      </c>
      <c r="O87" s="40">
        <f t="shared" si="10"/>
        <v>8.4965819489049934E-4</v>
      </c>
    </row>
    <row r="88" spans="1:15" ht="15.95" customHeight="1" x14ac:dyDescent="0.2">
      <c r="A88" s="43" t="s">
        <v>130</v>
      </c>
      <c r="B88" s="31" t="s">
        <v>67</v>
      </c>
      <c r="C88" s="30">
        <v>1500</v>
      </c>
      <c r="D88" s="30"/>
      <c r="E88" s="30"/>
      <c r="F88" s="46">
        <f>4000+5000</f>
        <v>9000</v>
      </c>
      <c r="G88" s="46"/>
      <c r="H88" s="30"/>
      <c r="I88" s="30"/>
      <c r="J88" s="46"/>
      <c r="K88" s="46"/>
      <c r="L88" s="30">
        <f t="shared" si="9"/>
        <v>10500</v>
      </c>
      <c r="M88" s="30">
        <v>6684.72</v>
      </c>
      <c r="N88" s="30">
        <f t="shared" si="3"/>
        <v>3815.2799999999997</v>
      </c>
      <c r="O88" s="40">
        <f t="shared" si="10"/>
        <v>2.1172076597947621E-3</v>
      </c>
    </row>
    <row r="89" spans="1:15" ht="15.95" customHeight="1" x14ac:dyDescent="0.2">
      <c r="A89" s="43" t="s">
        <v>131</v>
      </c>
      <c r="B89" s="31" t="s">
        <v>201</v>
      </c>
      <c r="C89" s="30">
        <v>3050</v>
      </c>
      <c r="D89" s="30"/>
      <c r="E89" s="30"/>
      <c r="F89" s="46"/>
      <c r="G89" s="46"/>
      <c r="H89" s="30"/>
      <c r="I89" s="30"/>
      <c r="J89" s="46"/>
      <c r="K89" s="46"/>
      <c r="L89" s="30">
        <f t="shared" si="9"/>
        <v>3050</v>
      </c>
      <c r="M89" s="30">
        <v>1694</v>
      </c>
      <c r="N89" s="30">
        <f t="shared" si="3"/>
        <v>1356</v>
      </c>
      <c r="O89" s="40">
        <f t="shared" si="10"/>
        <v>5.3652954434775535E-4</v>
      </c>
    </row>
    <row r="90" spans="1:15" ht="15.95" customHeight="1" x14ac:dyDescent="0.2">
      <c r="A90" s="43" t="s">
        <v>132</v>
      </c>
      <c r="B90" s="31" t="s">
        <v>68</v>
      </c>
      <c r="C90" s="30">
        <v>875</v>
      </c>
      <c r="D90" s="30"/>
      <c r="E90" s="30"/>
      <c r="F90" s="46"/>
      <c r="G90" s="46"/>
      <c r="H90" s="30"/>
      <c r="I90" s="30"/>
      <c r="J90" s="46"/>
      <c r="K90" s="46"/>
      <c r="L90" s="30">
        <f t="shared" si="9"/>
        <v>875</v>
      </c>
      <c r="M90" s="30">
        <v>35</v>
      </c>
      <c r="N90" s="30">
        <f t="shared" si="3"/>
        <v>840</v>
      </c>
      <c r="O90" s="40">
        <f t="shared" si="10"/>
        <v>1.108532116420982E-5</v>
      </c>
    </row>
    <row r="91" spans="1:15" ht="15.95" customHeight="1" x14ac:dyDescent="0.2">
      <c r="A91" s="43" t="s">
        <v>133</v>
      </c>
      <c r="B91" s="31" t="s">
        <v>202</v>
      </c>
      <c r="C91" s="30">
        <v>5500</v>
      </c>
      <c r="D91" s="30"/>
      <c r="E91" s="30"/>
      <c r="F91" s="46">
        <v>2000</v>
      </c>
      <c r="G91" s="46"/>
      <c r="H91" s="30"/>
      <c r="I91" s="30"/>
      <c r="J91" s="46"/>
      <c r="K91" s="46"/>
      <c r="L91" s="30">
        <f t="shared" si="9"/>
        <v>7500</v>
      </c>
      <c r="M91" s="30">
        <v>324</v>
      </c>
      <c r="N91" s="30">
        <f t="shared" si="3"/>
        <v>7176</v>
      </c>
      <c r="O91" s="40">
        <f t="shared" si="10"/>
        <v>1.0261840163439948E-4</v>
      </c>
    </row>
    <row r="92" spans="1:15" ht="15.95" customHeight="1" x14ac:dyDescent="0.2">
      <c r="A92" s="43" t="s">
        <v>134</v>
      </c>
      <c r="B92" s="31" t="s">
        <v>69</v>
      </c>
      <c r="C92" s="30">
        <v>2700</v>
      </c>
      <c r="D92" s="30"/>
      <c r="E92" s="30"/>
      <c r="F92" s="46"/>
      <c r="G92" s="46"/>
      <c r="H92" s="30"/>
      <c r="I92" s="30"/>
      <c r="J92" s="46"/>
      <c r="K92" s="46"/>
      <c r="L92" s="30">
        <f t="shared" si="9"/>
        <v>2700</v>
      </c>
      <c r="M92" s="30">
        <v>290</v>
      </c>
      <c r="N92" s="30">
        <f t="shared" si="3"/>
        <v>2410</v>
      </c>
      <c r="O92" s="40">
        <f t="shared" si="10"/>
        <v>9.1849803932024231E-5</v>
      </c>
    </row>
    <row r="93" spans="1:15" ht="15.95" customHeight="1" x14ac:dyDescent="0.2">
      <c r="A93" s="43" t="s">
        <v>203</v>
      </c>
      <c r="B93" s="31" t="s">
        <v>204</v>
      </c>
      <c r="C93" s="30">
        <v>2800</v>
      </c>
      <c r="D93" s="30"/>
      <c r="E93" s="30"/>
      <c r="F93" s="46">
        <v>2000</v>
      </c>
      <c r="G93" s="46"/>
      <c r="H93" s="30"/>
      <c r="I93" s="30"/>
      <c r="J93" s="46"/>
      <c r="K93" s="46"/>
      <c r="L93" s="30">
        <f t="shared" si="9"/>
        <v>4800</v>
      </c>
      <c r="M93" s="30">
        <v>202</v>
      </c>
      <c r="N93" s="30">
        <f t="shared" si="3"/>
        <v>4598</v>
      </c>
      <c r="O93" s="40">
        <f t="shared" si="10"/>
        <v>6.3978139290582394E-5</v>
      </c>
    </row>
    <row r="94" spans="1:15" ht="15.95" customHeight="1" x14ac:dyDescent="0.2">
      <c r="A94" s="43" t="s">
        <v>135</v>
      </c>
      <c r="B94" s="31" t="s">
        <v>70</v>
      </c>
      <c r="C94" s="30">
        <v>8500</v>
      </c>
      <c r="D94" s="30"/>
      <c r="E94" s="30"/>
      <c r="F94" s="46">
        <v>2000</v>
      </c>
      <c r="G94" s="46"/>
      <c r="H94" s="30"/>
      <c r="I94" s="30"/>
      <c r="J94" s="46"/>
      <c r="K94" s="46"/>
      <c r="L94" s="30">
        <f t="shared" si="9"/>
        <v>10500</v>
      </c>
      <c r="M94" s="30">
        <v>4608.9399999999996</v>
      </c>
      <c r="N94" s="30">
        <f t="shared" si="3"/>
        <v>5891.06</v>
      </c>
      <c r="O94" s="40">
        <f t="shared" si="10"/>
        <v>1.4597594321878059E-3</v>
      </c>
    </row>
    <row r="95" spans="1:15" ht="15.95" customHeight="1" x14ac:dyDescent="0.2">
      <c r="A95" s="43" t="s">
        <v>136</v>
      </c>
      <c r="B95" s="31" t="s">
        <v>205</v>
      </c>
      <c r="C95" s="30">
        <v>2000</v>
      </c>
      <c r="D95" s="30"/>
      <c r="E95" s="30"/>
      <c r="F95" s="46">
        <v>6000</v>
      </c>
      <c r="G95" s="46"/>
      <c r="H95" s="30"/>
      <c r="I95" s="30"/>
      <c r="J95" s="46"/>
      <c r="K95" s="46"/>
      <c r="L95" s="30">
        <f t="shared" si="9"/>
        <v>8000</v>
      </c>
      <c r="M95" s="30">
        <v>2354.11</v>
      </c>
      <c r="N95" s="30">
        <f t="shared" si="3"/>
        <v>5645.8899999999994</v>
      </c>
      <c r="O95" s="40">
        <f t="shared" si="10"/>
        <v>7.4560186873937095E-4</v>
      </c>
    </row>
    <row r="96" spans="1:15" ht="15.95" customHeight="1" x14ac:dyDescent="0.2">
      <c r="A96" s="43" t="s">
        <v>137</v>
      </c>
      <c r="B96" s="31" t="s">
        <v>71</v>
      </c>
      <c r="C96" s="30">
        <v>17500</v>
      </c>
      <c r="D96" s="30"/>
      <c r="E96" s="30"/>
      <c r="F96" s="46"/>
      <c r="G96" s="46"/>
      <c r="H96" s="30"/>
      <c r="I96" s="30"/>
      <c r="J96" s="46"/>
      <c r="K96" s="46"/>
      <c r="L96" s="30">
        <f t="shared" si="9"/>
        <v>17500</v>
      </c>
      <c r="M96" s="30">
        <v>7207.23</v>
      </c>
      <c r="N96" s="30">
        <f t="shared" si="3"/>
        <v>10292.77</v>
      </c>
      <c r="O96" s="40">
        <f t="shared" si="10"/>
        <v>2.2826988358379411E-3</v>
      </c>
    </row>
    <row r="97" spans="1:15" ht="15.95" customHeight="1" x14ac:dyDescent="0.2">
      <c r="A97" s="43" t="s">
        <v>138</v>
      </c>
      <c r="B97" s="31" t="s">
        <v>206</v>
      </c>
      <c r="C97" s="30">
        <v>3000</v>
      </c>
      <c r="D97" s="30"/>
      <c r="E97" s="30"/>
      <c r="F97" s="46"/>
      <c r="G97" s="46"/>
      <c r="H97" s="30"/>
      <c r="I97" s="30"/>
      <c r="J97" s="46"/>
      <c r="K97" s="46"/>
      <c r="L97" s="30">
        <f t="shared" si="9"/>
        <v>3000</v>
      </c>
      <c r="M97" s="30">
        <v>2039.84</v>
      </c>
      <c r="N97" s="30">
        <f t="shared" si="3"/>
        <v>960.16000000000008</v>
      </c>
      <c r="O97" s="40">
        <f t="shared" si="10"/>
        <v>6.4606518638862169E-4</v>
      </c>
    </row>
    <row r="98" spans="1:15" ht="15.95" customHeight="1" x14ac:dyDescent="0.2">
      <c r="A98" s="43" t="s">
        <v>139</v>
      </c>
      <c r="B98" s="31" t="s">
        <v>207</v>
      </c>
      <c r="C98" s="30">
        <v>1500</v>
      </c>
      <c r="D98" s="30"/>
      <c r="E98" s="30"/>
      <c r="F98" s="46">
        <v>2000</v>
      </c>
      <c r="G98" s="46"/>
      <c r="H98" s="30"/>
      <c r="I98" s="30"/>
      <c r="J98" s="46"/>
      <c r="K98" s="46"/>
      <c r="L98" s="30">
        <f t="shared" si="9"/>
        <v>3500</v>
      </c>
      <c r="M98" s="30">
        <v>169</v>
      </c>
      <c r="N98" s="30">
        <f t="shared" ref="N98:N135" si="11">L98-M98</f>
        <v>3331</v>
      </c>
      <c r="O98" s="40">
        <f t="shared" si="10"/>
        <v>5.3526265050041704E-5</v>
      </c>
    </row>
    <row r="99" spans="1:15" ht="15.95" customHeight="1" x14ac:dyDescent="0.2">
      <c r="A99" s="43" t="s">
        <v>140</v>
      </c>
      <c r="B99" s="31" t="s">
        <v>72</v>
      </c>
      <c r="C99" s="30">
        <v>210345</v>
      </c>
      <c r="D99" s="30"/>
      <c r="E99" s="30"/>
      <c r="F99" s="46"/>
      <c r="G99" s="46"/>
      <c r="H99" s="30"/>
      <c r="I99" s="30"/>
      <c r="J99" s="46"/>
      <c r="K99" s="46"/>
      <c r="L99" s="30">
        <f t="shared" si="9"/>
        <v>210345</v>
      </c>
      <c r="M99" s="30">
        <v>89968.29</v>
      </c>
      <c r="N99" s="30">
        <f t="shared" si="11"/>
        <v>120376.71</v>
      </c>
      <c r="O99" s="40">
        <f t="shared" si="10"/>
        <v>2.849506826413619E-2</v>
      </c>
    </row>
    <row r="100" spans="1:15" ht="15.95" hidden="1" customHeight="1" x14ac:dyDescent="0.2">
      <c r="A100" s="43">
        <v>272</v>
      </c>
      <c r="B100" s="31" t="s">
        <v>208</v>
      </c>
      <c r="C100" s="30"/>
      <c r="D100" s="30"/>
      <c r="E100" s="30"/>
      <c r="F100" s="46"/>
      <c r="G100" s="46"/>
      <c r="H100" s="30"/>
      <c r="I100" s="30"/>
      <c r="J100" s="46"/>
      <c r="K100" s="46"/>
      <c r="L100" s="30">
        <f t="shared" si="9"/>
        <v>0</v>
      </c>
      <c r="M100" s="30">
        <v>0</v>
      </c>
      <c r="N100" s="30">
        <f t="shared" si="11"/>
        <v>0</v>
      </c>
      <c r="O100" s="40">
        <f t="shared" si="10"/>
        <v>0</v>
      </c>
    </row>
    <row r="101" spans="1:15" ht="15.95" hidden="1" customHeight="1" x14ac:dyDescent="0.2">
      <c r="A101" s="43" t="s">
        <v>141</v>
      </c>
      <c r="B101" s="31" t="s">
        <v>209</v>
      </c>
      <c r="C101" s="30"/>
      <c r="D101" s="30"/>
      <c r="E101" s="30"/>
      <c r="F101" s="46"/>
      <c r="G101" s="46"/>
      <c r="H101" s="30"/>
      <c r="I101" s="30"/>
      <c r="J101" s="46"/>
      <c r="K101" s="46"/>
      <c r="L101" s="30">
        <f t="shared" si="9"/>
        <v>0</v>
      </c>
      <c r="M101" s="30">
        <v>0</v>
      </c>
      <c r="N101" s="30">
        <f t="shared" si="11"/>
        <v>0</v>
      </c>
      <c r="O101" s="40">
        <f t="shared" si="10"/>
        <v>0</v>
      </c>
    </row>
    <row r="102" spans="1:15" ht="15.95" customHeight="1" x14ac:dyDescent="0.2">
      <c r="A102" s="43">
        <v>274</v>
      </c>
      <c r="B102" s="31" t="s">
        <v>73</v>
      </c>
      <c r="C102" s="30">
        <v>1500</v>
      </c>
      <c r="D102" s="30"/>
      <c r="E102" s="30"/>
      <c r="F102" s="46"/>
      <c r="G102" s="46"/>
      <c r="H102" s="30"/>
      <c r="I102" s="30"/>
      <c r="J102" s="46"/>
      <c r="K102" s="46"/>
      <c r="L102" s="30">
        <f t="shared" si="9"/>
        <v>1500</v>
      </c>
      <c r="M102" s="30">
        <v>237</v>
      </c>
      <c r="N102" s="30">
        <f t="shared" si="11"/>
        <v>1263</v>
      </c>
      <c r="O102" s="40">
        <f t="shared" si="10"/>
        <v>7.5063460454792211E-5</v>
      </c>
    </row>
    <row r="103" spans="1:15" ht="15.95" hidden="1" customHeight="1" x14ac:dyDescent="0.2">
      <c r="A103" s="43">
        <v>275</v>
      </c>
      <c r="B103" s="31" t="s">
        <v>210</v>
      </c>
      <c r="C103" s="30"/>
      <c r="D103" s="30"/>
      <c r="E103" s="30"/>
      <c r="F103" s="46"/>
      <c r="G103" s="46"/>
      <c r="H103" s="30"/>
      <c r="I103" s="30"/>
      <c r="J103" s="46"/>
      <c r="K103" s="46"/>
      <c r="L103" s="30">
        <f t="shared" si="9"/>
        <v>0</v>
      </c>
      <c r="M103" s="30">
        <v>0</v>
      </c>
      <c r="N103" s="30">
        <f t="shared" si="11"/>
        <v>0</v>
      </c>
      <c r="O103" s="40">
        <f t="shared" si="10"/>
        <v>0</v>
      </c>
    </row>
    <row r="104" spans="1:15" ht="15.95" customHeight="1" x14ac:dyDescent="0.2">
      <c r="A104" s="43">
        <v>279</v>
      </c>
      <c r="B104" s="31" t="s">
        <v>211</v>
      </c>
      <c r="C104" s="30">
        <v>750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9"/>
        <v>750</v>
      </c>
      <c r="M104" s="30">
        <v>0</v>
      </c>
      <c r="N104" s="30">
        <f t="shared" si="11"/>
        <v>750</v>
      </c>
      <c r="O104" s="40">
        <f t="shared" si="10"/>
        <v>0</v>
      </c>
    </row>
    <row r="105" spans="1:15" ht="15.95" hidden="1" customHeight="1" x14ac:dyDescent="0.2">
      <c r="A105" s="43">
        <v>281</v>
      </c>
      <c r="B105" s="31" t="s">
        <v>212</v>
      </c>
      <c r="C105" s="30"/>
      <c r="D105" s="30"/>
      <c r="E105" s="30"/>
      <c r="F105" s="46"/>
      <c r="G105" s="46"/>
      <c r="H105" s="30"/>
      <c r="I105" s="30"/>
      <c r="J105" s="46"/>
      <c r="K105" s="46"/>
      <c r="L105" s="30">
        <f t="shared" si="9"/>
        <v>0</v>
      </c>
      <c r="M105" s="30">
        <v>0</v>
      </c>
      <c r="N105" s="30">
        <f t="shared" si="11"/>
        <v>0</v>
      </c>
      <c r="O105" s="40">
        <f t="shared" si="10"/>
        <v>0</v>
      </c>
    </row>
    <row r="106" spans="1:15" ht="15.95" customHeight="1" x14ac:dyDescent="0.2">
      <c r="A106" s="43" t="s">
        <v>142</v>
      </c>
      <c r="B106" s="31" t="s">
        <v>213</v>
      </c>
      <c r="C106" s="30">
        <v>1800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9"/>
        <v>1800</v>
      </c>
      <c r="M106" s="30">
        <v>233.06</v>
      </c>
      <c r="N106" s="30">
        <f t="shared" si="11"/>
        <v>1566.94</v>
      </c>
      <c r="O106" s="40">
        <f t="shared" si="10"/>
        <v>7.3815570015164027E-5</v>
      </c>
    </row>
    <row r="107" spans="1:15" ht="15.95" customHeight="1" x14ac:dyDescent="0.2">
      <c r="A107" s="43" t="s">
        <v>143</v>
      </c>
      <c r="B107" s="31" t="s">
        <v>74</v>
      </c>
      <c r="C107" s="30">
        <v>8800</v>
      </c>
      <c r="D107" s="30">
        <v>15000</v>
      </c>
      <c r="E107" s="30"/>
      <c r="F107" s="46">
        <v>10000</v>
      </c>
      <c r="G107" s="46"/>
      <c r="H107" s="30"/>
      <c r="I107" s="30"/>
      <c r="J107" s="46"/>
      <c r="K107" s="46"/>
      <c r="L107" s="30">
        <f t="shared" si="9"/>
        <v>33800</v>
      </c>
      <c r="M107" s="30">
        <v>2189.8200000000002</v>
      </c>
      <c r="N107" s="30">
        <f t="shared" si="11"/>
        <v>31610.18</v>
      </c>
      <c r="O107" s="40">
        <f t="shared" si="10"/>
        <v>6.9356737119457006E-4</v>
      </c>
    </row>
    <row r="108" spans="1:15" ht="15.95" customHeight="1" x14ac:dyDescent="0.2">
      <c r="A108" s="43" t="s">
        <v>144</v>
      </c>
      <c r="B108" s="31" t="s">
        <v>75</v>
      </c>
      <c r="C108" s="30">
        <v>800821.67999999993</v>
      </c>
      <c r="D108" s="30"/>
      <c r="E108" s="30"/>
      <c r="F108" s="46">
        <v>106800</v>
      </c>
      <c r="G108" s="46">
        <v>7621</v>
      </c>
      <c r="H108" s="30"/>
      <c r="I108" s="30"/>
      <c r="J108" s="46"/>
      <c r="K108" s="46"/>
      <c r="L108" s="30">
        <f t="shared" si="9"/>
        <v>900000.67999999993</v>
      </c>
      <c r="M108" s="30">
        <v>0</v>
      </c>
      <c r="N108" s="30">
        <f t="shared" si="11"/>
        <v>900000.67999999993</v>
      </c>
      <c r="O108" s="40">
        <f t="shared" si="10"/>
        <v>0</v>
      </c>
    </row>
    <row r="109" spans="1:15" ht="15.95" customHeight="1" x14ac:dyDescent="0.2">
      <c r="A109" s="43">
        <v>286</v>
      </c>
      <c r="B109" s="31" t="s">
        <v>214</v>
      </c>
      <c r="C109" s="30">
        <v>1500</v>
      </c>
      <c r="D109" s="30"/>
      <c r="E109" s="30"/>
      <c r="F109" s="46">
        <v>3000</v>
      </c>
      <c r="G109" s="46"/>
      <c r="H109" s="30"/>
      <c r="I109" s="30"/>
      <c r="J109" s="46"/>
      <c r="K109" s="46"/>
      <c r="L109" s="30">
        <f t="shared" si="9"/>
        <v>4500</v>
      </c>
      <c r="M109" s="30">
        <v>514.5</v>
      </c>
      <c r="N109" s="30">
        <f t="shared" si="11"/>
        <v>3985.5</v>
      </c>
      <c r="O109" s="40">
        <f t="shared" si="10"/>
        <v>1.6295422111388438E-4</v>
      </c>
    </row>
    <row r="110" spans="1:15" ht="15.95" hidden="1" customHeight="1" x14ac:dyDescent="0.2">
      <c r="A110" s="43">
        <v>289</v>
      </c>
      <c r="B110" s="31" t="s">
        <v>215</v>
      </c>
      <c r="C110" s="30"/>
      <c r="D110" s="30"/>
      <c r="E110" s="30"/>
      <c r="F110" s="46"/>
      <c r="G110" s="46"/>
      <c r="H110" s="30"/>
      <c r="I110" s="30"/>
      <c r="J110" s="46"/>
      <c r="K110" s="46"/>
      <c r="L110" s="30">
        <f t="shared" si="9"/>
        <v>0</v>
      </c>
      <c r="M110" s="30">
        <v>0</v>
      </c>
      <c r="N110" s="30">
        <f t="shared" si="11"/>
        <v>0</v>
      </c>
      <c r="O110" s="40">
        <f t="shared" si="10"/>
        <v>0</v>
      </c>
    </row>
    <row r="111" spans="1:15" ht="15.95" customHeight="1" x14ac:dyDescent="0.2">
      <c r="A111" s="43" t="s">
        <v>145</v>
      </c>
      <c r="B111" s="31" t="s">
        <v>76</v>
      </c>
      <c r="C111" s="30">
        <v>6600</v>
      </c>
      <c r="D111" s="30"/>
      <c r="E111" s="30"/>
      <c r="F111" s="46">
        <v>5000</v>
      </c>
      <c r="G111" s="46"/>
      <c r="H111" s="30"/>
      <c r="I111" s="30"/>
      <c r="J111" s="46"/>
      <c r="K111" s="46"/>
      <c r="L111" s="30">
        <f t="shared" si="9"/>
        <v>11600</v>
      </c>
      <c r="M111" s="30">
        <v>4015.46</v>
      </c>
      <c r="N111" s="30">
        <f t="shared" si="11"/>
        <v>7584.54</v>
      </c>
      <c r="O111" s="40">
        <f t="shared" si="10"/>
        <v>1.2717903920582275E-3</v>
      </c>
    </row>
    <row r="112" spans="1:15" ht="15.95" customHeight="1" x14ac:dyDescent="0.2">
      <c r="A112" s="43" t="s">
        <v>146</v>
      </c>
      <c r="B112" s="31" t="s">
        <v>216</v>
      </c>
      <c r="C112" s="30">
        <v>2000</v>
      </c>
      <c r="D112" s="30"/>
      <c r="E112" s="30"/>
      <c r="F112" s="46">
        <v>6000</v>
      </c>
      <c r="G112" s="46"/>
      <c r="H112" s="30"/>
      <c r="I112" s="30"/>
      <c r="J112" s="46"/>
      <c r="K112" s="46"/>
      <c r="L112" s="30">
        <f t="shared" si="9"/>
        <v>8000</v>
      </c>
      <c r="M112" s="30">
        <v>3009.11</v>
      </c>
      <c r="N112" s="30">
        <f t="shared" si="11"/>
        <v>4990.8899999999994</v>
      </c>
      <c r="O112" s="40">
        <f t="shared" si="10"/>
        <v>9.5305573624101191E-4</v>
      </c>
    </row>
    <row r="113" spans="1:15" ht="15.95" customHeight="1" x14ac:dyDescent="0.2">
      <c r="A113" s="43" t="s">
        <v>147</v>
      </c>
      <c r="B113" s="31" t="s">
        <v>77</v>
      </c>
      <c r="C113" s="30">
        <v>115251.9</v>
      </c>
      <c r="D113" s="30">
        <f>4500+21000+10000</f>
        <v>35500</v>
      </c>
      <c r="E113" s="30"/>
      <c r="F113" s="46"/>
      <c r="G113" s="46">
        <v>3150</v>
      </c>
      <c r="H113" s="30"/>
      <c r="I113" s="30"/>
      <c r="J113" s="46"/>
      <c r="K113" s="46"/>
      <c r="L113" s="30">
        <f t="shared" si="9"/>
        <v>147601.9</v>
      </c>
      <c r="M113" s="30">
        <v>97204.06</v>
      </c>
      <c r="N113" s="30">
        <f t="shared" si="11"/>
        <v>50397.84</v>
      </c>
      <c r="O113" s="40">
        <f t="shared" si="10"/>
        <v>3.0786806387574892E-2</v>
      </c>
    </row>
    <row r="114" spans="1:15" ht="15.95" customHeight="1" x14ac:dyDescent="0.2">
      <c r="A114" s="43" t="s">
        <v>148</v>
      </c>
      <c r="B114" s="31" t="s">
        <v>78</v>
      </c>
      <c r="C114" s="30">
        <v>2000</v>
      </c>
      <c r="D114" s="30"/>
      <c r="E114" s="30"/>
      <c r="F114" s="46">
        <v>3000</v>
      </c>
      <c r="G114" s="46"/>
      <c r="H114" s="30"/>
      <c r="I114" s="30"/>
      <c r="J114" s="46"/>
      <c r="K114" s="46"/>
      <c r="L114" s="30">
        <f t="shared" si="9"/>
        <v>5000</v>
      </c>
      <c r="M114" s="30">
        <v>0</v>
      </c>
      <c r="N114" s="30">
        <f t="shared" si="11"/>
        <v>5000</v>
      </c>
      <c r="O114" s="40">
        <f t="shared" si="10"/>
        <v>0</v>
      </c>
    </row>
    <row r="115" spans="1:15" ht="15.95" customHeight="1" x14ac:dyDescent="0.2">
      <c r="A115" s="43" t="s">
        <v>149</v>
      </c>
      <c r="B115" s="31" t="s">
        <v>217</v>
      </c>
      <c r="C115" s="30">
        <v>9500</v>
      </c>
      <c r="D115" s="30">
        <v>20000</v>
      </c>
      <c r="E115" s="30"/>
      <c r="F115" s="46">
        <v>5000</v>
      </c>
      <c r="G115" s="46"/>
      <c r="H115" s="30"/>
      <c r="I115" s="30"/>
      <c r="J115" s="46"/>
      <c r="K115" s="46"/>
      <c r="L115" s="30">
        <f t="shared" si="9"/>
        <v>34500</v>
      </c>
      <c r="M115" s="30">
        <v>19316.79</v>
      </c>
      <c r="N115" s="30">
        <f t="shared" si="11"/>
        <v>15183.21</v>
      </c>
      <c r="O115" s="40">
        <f t="shared" si="10"/>
        <v>6.1180806003313321E-3</v>
      </c>
    </row>
    <row r="116" spans="1:15" ht="15.95" customHeight="1" x14ac:dyDescent="0.2">
      <c r="A116" s="43" t="s">
        <v>150</v>
      </c>
      <c r="B116" s="31" t="s">
        <v>79</v>
      </c>
      <c r="C116" s="30">
        <v>101000</v>
      </c>
      <c r="D116" s="30"/>
      <c r="E116" s="30"/>
      <c r="F116" s="46">
        <v>358296.72</v>
      </c>
      <c r="G116" s="46"/>
      <c r="H116" s="30"/>
      <c r="I116" s="30">
        <v>136000</v>
      </c>
      <c r="J116" s="46"/>
      <c r="K116" s="46">
        <v>75000</v>
      </c>
      <c r="L116" s="30">
        <f t="shared" si="9"/>
        <v>248296.71999999997</v>
      </c>
      <c r="M116" s="30">
        <v>5316.97</v>
      </c>
      <c r="N116" s="30">
        <f t="shared" si="11"/>
        <v>242979.74999999997</v>
      </c>
      <c r="O116" s="40">
        <f t="shared" si="10"/>
        <v>1.6840091448705342E-3</v>
      </c>
    </row>
    <row r="117" spans="1:15" ht="15.95" customHeight="1" x14ac:dyDescent="0.2">
      <c r="A117" s="43" t="s">
        <v>151</v>
      </c>
      <c r="B117" s="31" t="s">
        <v>80</v>
      </c>
      <c r="C117" s="30">
        <v>11500</v>
      </c>
      <c r="D117" s="30"/>
      <c r="E117" s="30"/>
      <c r="F117" s="46">
        <v>25000</v>
      </c>
      <c r="G117" s="46"/>
      <c r="H117" s="30"/>
      <c r="I117" s="30"/>
      <c r="J117" s="46"/>
      <c r="K117" s="46"/>
      <c r="L117" s="30">
        <f t="shared" si="9"/>
        <v>36500</v>
      </c>
      <c r="M117" s="30">
        <v>6496.77</v>
      </c>
      <c r="N117" s="30">
        <f t="shared" si="11"/>
        <v>30003.23</v>
      </c>
      <c r="O117" s="40">
        <f t="shared" si="10"/>
        <v>2.0576794851429555E-3</v>
      </c>
    </row>
    <row r="118" spans="1:15" ht="15.95" customHeight="1" x14ac:dyDescent="0.2">
      <c r="A118" s="43"/>
      <c r="B118" s="31"/>
      <c r="C118" s="30"/>
      <c r="D118" s="30"/>
      <c r="E118" s="30"/>
      <c r="F118" s="46"/>
      <c r="G118" s="46"/>
      <c r="H118" s="30"/>
      <c r="I118" s="30"/>
      <c r="J118" s="46"/>
      <c r="K118" s="46"/>
      <c r="L118" s="30"/>
      <c r="M118" s="30"/>
      <c r="N118" s="30"/>
      <c r="O118" s="40"/>
    </row>
    <row r="119" spans="1:15" ht="15.95" customHeight="1" x14ac:dyDescent="0.2">
      <c r="A119" s="43"/>
      <c r="B119" s="31"/>
      <c r="C119" s="30"/>
      <c r="D119" s="30"/>
      <c r="E119" s="30"/>
      <c r="F119" s="46"/>
      <c r="G119" s="46"/>
      <c r="H119" s="30"/>
      <c r="I119" s="30"/>
      <c r="J119" s="46"/>
      <c r="K119" s="46"/>
      <c r="L119" s="30"/>
      <c r="M119" s="30"/>
      <c r="N119" s="30"/>
      <c r="O119" s="40"/>
    </row>
    <row r="120" spans="1:15" ht="15.95" customHeight="1" x14ac:dyDescent="0.2">
      <c r="A120" s="43"/>
      <c r="B120" s="31"/>
      <c r="C120" s="30"/>
      <c r="D120" s="30"/>
      <c r="E120" s="30"/>
      <c r="F120" s="46"/>
      <c r="G120" s="46"/>
      <c r="H120" s="30"/>
      <c r="I120" s="30"/>
      <c r="J120" s="46"/>
      <c r="K120" s="46"/>
      <c r="L120" s="30"/>
      <c r="M120" s="30"/>
      <c r="N120" s="30"/>
      <c r="O120" s="40"/>
    </row>
    <row r="121" spans="1:15" ht="15.95" customHeight="1" x14ac:dyDescent="0.25">
      <c r="A121" s="41">
        <v>3</v>
      </c>
      <c r="B121" s="42" t="s">
        <v>81</v>
      </c>
      <c r="C121" s="28"/>
      <c r="D121" s="30"/>
      <c r="E121" s="30"/>
      <c r="F121" s="46"/>
      <c r="G121" s="46"/>
      <c r="H121" s="30"/>
      <c r="I121" s="30"/>
      <c r="J121" s="46"/>
      <c r="K121" s="46"/>
      <c r="L121" s="30"/>
      <c r="M121" s="30"/>
      <c r="N121" s="30"/>
      <c r="O121" s="40"/>
    </row>
    <row r="122" spans="1:15" ht="15.95" customHeight="1" x14ac:dyDescent="0.2">
      <c r="A122" s="44" t="s">
        <v>218</v>
      </c>
      <c r="B122" s="45" t="s">
        <v>219</v>
      </c>
      <c r="C122" s="46">
        <v>10000</v>
      </c>
      <c r="D122" s="30"/>
      <c r="E122" s="30"/>
      <c r="F122" s="46">
        <f>20000+10000</f>
        <v>30000</v>
      </c>
      <c r="G122" s="46"/>
      <c r="H122" s="30"/>
      <c r="I122" s="30"/>
      <c r="J122" s="46"/>
      <c r="K122" s="46"/>
      <c r="L122" s="30">
        <f t="shared" ref="L122:L135" si="12">C122+D122-E122+F122-G122+J122-K122</f>
        <v>40000</v>
      </c>
      <c r="M122" s="30">
        <v>1299</v>
      </c>
      <c r="N122" s="30">
        <f t="shared" si="11"/>
        <v>38701</v>
      </c>
      <c r="O122" s="40">
        <f>M122/$M$136</f>
        <v>4.1142377692310165E-4</v>
      </c>
    </row>
    <row r="123" spans="1:15" ht="15.95" hidden="1" customHeight="1" x14ac:dyDescent="0.2">
      <c r="A123" s="44" t="s">
        <v>82</v>
      </c>
      <c r="B123" s="45" t="s">
        <v>220</v>
      </c>
      <c r="C123" s="46">
        <v>0</v>
      </c>
      <c r="D123" s="30"/>
      <c r="E123" s="30"/>
      <c r="F123" s="46"/>
      <c r="G123" s="46"/>
      <c r="H123" s="30"/>
      <c r="I123" s="30"/>
      <c r="J123" s="46"/>
      <c r="K123" s="46"/>
      <c r="L123" s="30">
        <f t="shared" si="12"/>
        <v>0</v>
      </c>
      <c r="M123" s="30">
        <v>0</v>
      </c>
      <c r="N123" s="30">
        <f t="shared" si="11"/>
        <v>0</v>
      </c>
      <c r="O123" s="40">
        <f>M123/$M$136</f>
        <v>0</v>
      </c>
    </row>
    <row r="124" spans="1:15" ht="15.95" customHeight="1" x14ac:dyDescent="0.2">
      <c r="A124" s="44" t="s">
        <v>221</v>
      </c>
      <c r="B124" s="45" t="s">
        <v>222</v>
      </c>
      <c r="C124" s="46">
        <v>54035</v>
      </c>
      <c r="D124" s="30"/>
      <c r="E124" s="30"/>
      <c r="F124" s="46">
        <v>120000</v>
      </c>
      <c r="G124" s="46"/>
      <c r="H124" s="30"/>
      <c r="I124" s="30"/>
      <c r="J124" s="46">
        <v>25000</v>
      </c>
      <c r="K124" s="46"/>
      <c r="L124" s="30">
        <f t="shared" si="12"/>
        <v>199035</v>
      </c>
      <c r="M124" s="30">
        <v>60342.21</v>
      </c>
      <c r="N124" s="30">
        <f t="shared" si="11"/>
        <v>138692.79</v>
      </c>
      <c r="O124" s="40">
        <f>M124/$M$136</f>
        <v>1.9111793645948384E-2</v>
      </c>
    </row>
    <row r="125" spans="1:15" ht="15.95" customHeight="1" x14ac:dyDescent="0.2">
      <c r="A125" s="44" t="s">
        <v>223</v>
      </c>
      <c r="B125" s="45" t="s">
        <v>224</v>
      </c>
      <c r="C125" s="46">
        <v>1500</v>
      </c>
      <c r="D125" s="30"/>
      <c r="E125" s="30"/>
      <c r="F125" s="46"/>
      <c r="G125" s="46"/>
      <c r="H125" s="30"/>
      <c r="I125" s="30"/>
      <c r="J125" s="46"/>
      <c r="K125" s="46"/>
      <c r="L125" s="30">
        <f t="shared" si="12"/>
        <v>1500</v>
      </c>
      <c r="M125" s="30">
        <v>0</v>
      </c>
      <c r="N125" s="30">
        <f t="shared" si="11"/>
        <v>1500</v>
      </c>
      <c r="O125" s="40">
        <f>M125/$M$136</f>
        <v>0</v>
      </c>
    </row>
    <row r="126" spans="1:15" ht="15.95" customHeight="1" x14ac:dyDescent="0.2">
      <c r="A126" s="44">
        <v>328</v>
      </c>
      <c r="B126" s="45" t="s">
        <v>254</v>
      </c>
      <c r="C126" s="46">
        <v>0</v>
      </c>
      <c r="D126" s="30">
        <v>3000</v>
      </c>
      <c r="E126" s="30"/>
      <c r="F126" s="46"/>
      <c r="G126" s="46"/>
      <c r="H126" s="30"/>
      <c r="I126" s="30"/>
      <c r="J126" s="46"/>
      <c r="K126" s="46"/>
      <c r="L126" s="30">
        <f t="shared" si="12"/>
        <v>3000</v>
      </c>
      <c r="M126" s="30">
        <v>2720</v>
      </c>
      <c r="N126" s="30">
        <f t="shared" si="11"/>
        <v>280</v>
      </c>
      <c r="O126" s="40">
        <f>+M126/M136</f>
        <v>8.6148781619002038E-4</v>
      </c>
    </row>
    <row r="127" spans="1:15" ht="15.95" customHeight="1" x14ac:dyDescent="0.2">
      <c r="A127" s="44" t="s">
        <v>225</v>
      </c>
      <c r="B127" s="45" t="s">
        <v>226</v>
      </c>
      <c r="C127" s="46">
        <v>14300</v>
      </c>
      <c r="D127" s="30">
        <f>3000+16000</f>
        <v>19000</v>
      </c>
      <c r="E127" s="30"/>
      <c r="F127" s="46">
        <v>42000</v>
      </c>
      <c r="G127" s="46"/>
      <c r="H127" s="30"/>
      <c r="I127" s="30"/>
      <c r="J127" s="46">
        <v>50000</v>
      </c>
      <c r="K127" s="46"/>
      <c r="L127" s="30">
        <f t="shared" si="12"/>
        <v>125300</v>
      </c>
      <c r="M127" s="30">
        <v>37536.879999999997</v>
      </c>
      <c r="N127" s="30">
        <f t="shared" si="11"/>
        <v>87763.12</v>
      </c>
      <c r="O127" s="40">
        <f>M127/$M$136</f>
        <v>1.1888810580068694E-2</v>
      </c>
    </row>
    <row r="128" spans="1:15" ht="15.95" hidden="1" customHeight="1" x14ac:dyDescent="0.2">
      <c r="A128" s="44" t="s">
        <v>227</v>
      </c>
      <c r="B128" s="45" t="s">
        <v>228</v>
      </c>
      <c r="C128" s="46">
        <v>0</v>
      </c>
      <c r="D128" s="30"/>
      <c r="E128" s="30"/>
      <c r="F128" s="46"/>
      <c r="G128" s="46"/>
      <c r="H128" s="30"/>
      <c r="I128" s="30"/>
      <c r="J128" s="46"/>
      <c r="K128" s="46"/>
      <c r="L128" s="30">
        <f t="shared" si="12"/>
        <v>0</v>
      </c>
      <c r="M128" s="30">
        <v>0</v>
      </c>
      <c r="N128" s="30">
        <f t="shared" si="11"/>
        <v>0</v>
      </c>
      <c r="O128" s="40">
        <f>M128/$M$136</f>
        <v>0</v>
      </c>
    </row>
    <row r="129" spans="1:15" ht="15.95" customHeight="1" x14ac:dyDescent="0.2">
      <c r="A129" s="44"/>
      <c r="B129" s="45"/>
      <c r="C129" s="46"/>
      <c r="D129" s="30"/>
      <c r="E129" s="30"/>
      <c r="F129" s="46"/>
      <c r="G129" s="46"/>
      <c r="H129" s="30"/>
      <c r="I129" s="30"/>
      <c r="J129" s="46"/>
      <c r="K129" s="46"/>
      <c r="L129" s="30"/>
      <c r="M129" s="30"/>
      <c r="N129" s="30"/>
      <c r="O129" s="40"/>
    </row>
    <row r="130" spans="1:15" ht="15.95" customHeight="1" x14ac:dyDescent="0.2">
      <c r="A130" s="43"/>
      <c r="B130" s="31"/>
      <c r="C130" s="30"/>
      <c r="D130" s="30"/>
      <c r="E130" s="30"/>
      <c r="F130" s="46"/>
      <c r="G130" s="46"/>
      <c r="H130" s="30"/>
      <c r="I130" s="30"/>
      <c r="J130" s="46"/>
      <c r="K130" s="46"/>
      <c r="L130" s="30"/>
      <c r="M130" s="30"/>
      <c r="N130" s="30"/>
      <c r="O130" s="40"/>
    </row>
    <row r="131" spans="1:15" ht="15.95" customHeight="1" x14ac:dyDescent="0.25">
      <c r="A131" s="41">
        <v>4</v>
      </c>
      <c r="B131" s="42" t="s">
        <v>83</v>
      </c>
      <c r="C131" s="28"/>
      <c r="D131" s="30"/>
      <c r="E131" s="30"/>
      <c r="F131" s="46"/>
      <c r="G131" s="46"/>
      <c r="H131" s="30"/>
      <c r="I131" s="30"/>
      <c r="J131" s="46"/>
      <c r="K131" s="46"/>
      <c r="L131" s="30"/>
      <c r="M131" s="30"/>
      <c r="N131" s="30"/>
      <c r="O131" s="40"/>
    </row>
    <row r="132" spans="1:15" ht="15.95" customHeight="1" x14ac:dyDescent="0.2">
      <c r="A132" s="43" t="s">
        <v>229</v>
      </c>
      <c r="B132" s="31" t="s">
        <v>84</v>
      </c>
      <c r="C132" s="30">
        <v>140900</v>
      </c>
      <c r="D132" s="30"/>
      <c r="E132" s="30"/>
      <c r="F132" s="46">
        <v>180620.2</v>
      </c>
      <c r="G132" s="46"/>
      <c r="H132" s="30"/>
      <c r="I132" s="30"/>
      <c r="J132" s="46"/>
      <c r="K132" s="46"/>
      <c r="L132" s="30">
        <f t="shared" si="12"/>
        <v>321520.2</v>
      </c>
      <c r="M132" s="30">
        <v>160338.44</v>
      </c>
      <c r="N132" s="30">
        <f t="shared" si="11"/>
        <v>161181.76000000001</v>
      </c>
      <c r="O132" s="40">
        <f>M132/$M$136</f>
        <v>5.07829457819539E-2</v>
      </c>
    </row>
    <row r="133" spans="1:15" ht="15.95" customHeight="1" x14ac:dyDescent="0.2">
      <c r="A133" s="43" t="s">
        <v>230</v>
      </c>
      <c r="B133" s="31" t="s">
        <v>231</v>
      </c>
      <c r="C133" s="30">
        <v>7170</v>
      </c>
      <c r="D133" s="30"/>
      <c r="E133" s="30"/>
      <c r="F133" s="30"/>
      <c r="G133" s="30"/>
      <c r="H133" s="30"/>
      <c r="I133" s="30"/>
      <c r="J133" s="46"/>
      <c r="K133" s="46"/>
      <c r="L133" s="30">
        <f t="shared" si="12"/>
        <v>7170</v>
      </c>
      <c r="M133" s="30">
        <v>4283.8900000000003</v>
      </c>
      <c r="N133" s="30">
        <f t="shared" si="11"/>
        <v>2886.1099999999997</v>
      </c>
      <c r="O133" s="40">
        <f>M133/$M$136</f>
        <v>1.3568084709184804E-3</v>
      </c>
    </row>
    <row r="134" spans="1:15" ht="15.95" customHeight="1" x14ac:dyDescent="0.2">
      <c r="A134" s="43" t="s">
        <v>232</v>
      </c>
      <c r="B134" s="31" t="s">
        <v>233</v>
      </c>
      <c r="C134" s="30">
        <v>163700</v>
      </c>
      <c r="D134" s="30"/>
      <c r="E134" s="30"/>
      <c r="F134" s="30"/>
      <c r="G134" s="30"/>
      <c r="H134" s="30"/>
      <c r="I134" s="30"/>
      <c r="J134" s="46"/>
      <c r="K134" s="46"/>
      <c r="L134" s="30">
        <f t="shared" si="12"/>
        <v>163700</v>
      </c>
      <c r="M134" s="30">
        <v>120013</v>
      </c>
      <c r="N134" s="30">
        <f t="shared" si="11"/>
        <v>43687</v>
      </c>
      <c r="O134" s="40">
        <f>M134/$M$136</f>
        <v>3.8010932825151805E-2</v>
      </c>
    </row>
    <row r="135" spans="1:15" ht="15.95" customHeight="1" thickBot="1" x14ac:dyDescent="0.25">
      <c r="A135" s="43" t="s">
        <v>234</v>
      </c>
      <c r="B135" s="31" t="s">
        <v>235</v>
      </c>
      <c r="C135" s="30">
        <v>8750</v>
      </c>
      <c r="D135" s="30"/>
      <c r="E135" s="30"/>
      <c r="F135" s="30"/>
      <c r="G135" s="30"/>
      <c r="H135" s="30"/>
      <c r="I135" s="30"/>
      <c r="J135" s="46"/>
      <c r="K135" s="46"/>
      <c r="L135" s="30">
        <f t="shared" si="12"/>
        <v>8750</v>
      </c>
      <c r="M135" s="30">
        <v>1924.74</v>
      </c>
      <c r="N135" s="30">
        <f t="shared" si="11"/>
        <v>6825.26</v>
      </c>
      <c r="O135" s="40">
        <f>M135/$M$136</f>
        <v>6.0961031593146319E-4</v>
      </c>
    </row>
    <row r="136" spans="1:15" ht="18" customHeight="1" thickBot="1" x14ac:dyDescent="0.3">
      <c r="A136" s="34"/>
      <c r="B136" s="35" t="s">
        <v>94</v>
      </c>
      <c r="C136" s="36">
        <f t="shared" ref="C136:N136" si="13">SUM(C31:C135)</f>
        <v>6416776.6099999994</v>
      </c>
      <c r="D136" s="36">
        <f t="shared" si="13"/>
        <v>129000</v>
      </c>
      <c r="E136" s="36">
        <f t="shared" si="13"/>
        <v>129000</v>
      </c>
      <c r="F136" s="36">
        <f t="shared" si="13"/>
        <v>1468277.92</v>
      </c>
      <c r="G136" s="36">
        <f t="shared" si="13"/>
        <v>1468277.92</v>
      </c>
      <c r="H136" s="36">
        <f t="shared" si="13"/>
        <v>136000</v>
      </c>
      <c r="I136" s="36">
        <f t="shared" si="13"/>
        <v>136000</v>
      </c>
      <c r="J136" s="71">
        <f t="shared" si="13"/>
        <v>100000</v>
      </c>
      <c r="K136" s="71">
        <f t="shared" si="13"/>
        <v>100000</v>
      </c>
      <c r="L136" s="36">
        <f t="shared" si="13"/>
        <v>6416776.6100000003</v>
      </c>
      <c r="M136" s="36">
        <f t="shared" si="13"/>
        <v>3157328.46</v>
      </c>
      <c r="N136" s="36">
        <f t="shared" si="13"/>
        <v>3259448.149999999</v>
      </c>
      <c r="O136" s="47">
        <v>1</v>
      </c>
    </row>
    <row r="137" spans="1:15" x14ac:dyDescent="0.2">
      <c r="A137" s="48"/>
      <c r="B137" s="85"/>
      <c r="C137" s="88"/>
      <c r="D137" s="86"/>
      <c r="E137" s="49"/>
      <c r="F137" s="49"/>
      <c r="G137" s="49"/>
      <c r="H137" s="49"/>
      <c r="I137" s="49"/>
      <c r="J137" s="72"/>
      <c r="K137" s="72"/>
      <c r="L137" s="49"/>
      <c r="M137" s="49"/>
      <c r="N137" s="49"/>
    </row>
    <row r="138" spans="1:15" ht="15.75" thickBot="1" x14ac:dyDescent="0.25">
      <c r="B138" s="87"/>
      <c r="C138" s="87"/>
      <c r="D138" s="87"/>
      <c r="E138" s="12"/>
      <c r="F138" s="4"/>
      <c r="L138" s="15"/>
      <c r="M138" s="4"/>
    </row>
    <row r="139" spans="1:15" ht="15.75" x14ac:dyDescent="0.25">
      <c r="A139" s="1" t="s">
        <v>85</v>
      </c>
      <c r="B139" s="2"/>
      <c r="C139" s="3"/>
      <c r="D139" s="4"/>
      <c r="E139" s="4"/>
      <c r="F139" s="4"/>
      <c r="G139" s="4"/>
      <c r="H139" s="4"/>
      <c r="I139" s="4"/>
      <c r="J139" s="73"/>
      <c r="K139" s="73"/>
      <c r="L139" s="4"/>
      <c r="M139" s="4"/>
    </row>
    <row r="140" spans="1:15" ht="15.75" x14ac:dyDescent="0.25">
      <c r="A140" s="5" t="s">
        <v>2</v>
      </c>
      <c r="B140" s="6"/>
      <c r="C140" s="7"/>
      <c r="D140" s="4"/>
      <c r="E140" s="4"/>
      <c r="F140" s="4"/>
      <c r="G140" s="4"/>
      <c r="H140" s="4"/>
      <c r="I140" s="4"/>
      <c r="J140" s="73"/>
      <c r="K140" s="73"/>
      <c r="L140" s="4"/>
      <c r="M140" s="4"/>
    </row>
    <row r="141" spans="1:15" ht="5.0999999999999996" customHeight="1" thickBot="1" x14ac:dyDescent="0.25">
      <c r="A141" s="8"/>
      <c r="B141" s="9"/>
      <c r="C141" s="10"/>
      <c r="D141" s="4"/>
      <c r="E141" s="4"/>
      <c r="F141" s="4"/>
      <c r="G141" s="4"/>
      <c r="H141" s="4"/>
      <c r="I141" s="4"/>
      <c r="J141" s="73"/>
      <c r="K141" s="73"/>
      <c r="L141" s="4"/>
      <c r="M141" s="4"/>
    </row>
    <row r="142" spans="1:15" ht="6.95" customHeight="1" x14ac:dyDescent="0.2">
      <c r="A142" s="51"/>
      <c r="B142" s="52"/>
      <c r="C142" s="53"/>
      <c r="D142" s="4"/>
      <c r="E142" s="4"/>
      <c r="F142" s="4"/>
      <c r="G142" s="4"/>
      <c r="H142" s="4"/>
      <c r="I142" s="4"/>
      <c r="J142" s="73"/>
      <c r="K142" s="73"/>
      <c r="L142" s="4"/>
      <c r="M142" s="4"/>
    </row>
    <row r="143" spans="1:15" x14ac:dyDescent="0.2">
      <c r="A143" s="54" t="s">
        <v>86</v>
      </c>
      <c r="B143" s="55"/>
      <c r="C143" s="56"/>
      <c r="D143" s="4"/>
      <c r="E143" s="4"/>
      <c r="F143" s="4"/>
      <c r="G143" s="4"/>
      <c r="H143" s="4"/>
      <c r="I143" s="4"/>
      <c r="J143" s="73"/>
      <c r="K143" s="73"/>
      <c r="L143" s="4"/>
    </row>
    <row r="144" spans="1:15" x14ac:dyDescent="0.2">
      <c r="A144" s="57" t="s">
        <v>236</v>
      </c>
      <c r="B144" s="55"/>
      <c r="C144" s="76">
        <f>260706.83+1025276.81</f>
        <v>1285983.6400000001</v>
      </c>
      <c r="D144" s="49"/>
      <c r="E144" s="4"/>
      <c r="F144" s="4"/>
      <c r="G144" s="4"/>
      <c r="H144" s="4"/>
      <c r="I144" s="4"/>
      <c r="J144" s="73"/>
      <c r="K144" s="73"/>
      <c r="L144" s="4"/>
    </row>
    <row r="145" spans="1:12" x14ac:dyDescent="0.2">
      <c r="A145" s="57" t="s">
        <v>256</v>
      </c>
      <c r="B145" s="55"/>
      <c r="C145" s="76">
        <f>50710.94-4603.19-79.9</f>
        <v>46027.85</v>
      </c>
      <c r="D145" s="49"/>
      <c r="E145" s="4"/>
      <c r="F145" s="4"/>
      <c r="G145" s="4"/>
      <c r="H145" s="4"/>
      <c r="I145" s="4"/>
      <c r="J145" s="73"/>
      <c r="K145" s="73"/>
      <c r="L145" s="4"/>
    </row>
    <row r="146" spans="1:12" x14ac:dyDescent="0.2">
      <c r="A146" s="97" t="s">
        <v>267</v>
      </c>
      <c r="B146" s="55"/>
      <c r="C146" s="76">
        <v>-23005.8</v>
      </c>
      <c r="D146" s="49"/>
      <c r="E146" s="4"/>
      <c r="F146" s="4"/>
      <c r="G146" s="4"/>
      <c r="H146" s="4"/>
      <c r="I146" s="4"/>
      <c r="J146" s="73"/>
      <c r="K146" s="73"/>
      <c r="L146" s="4"/>
    </row>
    <row r="147" spans="1:12" x14ac:dyDescent="0.2">
      <c r="A147" s="57" t="s">
        <v>87</v>
      </c>
      <c r="B147" s="55"/>
      <c r="C147" s="76">
        <f>M26</f>
        <v>4240320.8100000005</v>
      </c>
      <c r="D147" s="4"/>
      <c r="E147" s="4"/>
      <c r="F147" s="4"/>
      <c r="G147" s="4"/>
      <c r="H147" s="4"/>
      <c r="I147" s="4"/>
      <c r="J147" s="73"/>
      <c r="K147" s="73"/>
      <c r="L147" s="4"/>
    </row>
    <row r="148" spans="1:12" x14ac:dyDescent="0.2">
      <c r="A148" s="57" t="s">
        <v>88</v>
      </c>
      <c r="B148" s="55"/>
      <c r="C148" s="77">
        <f>-M136</f>
        <v>-3157328.46</v>
      </c>
      <c r="D148" s="4"/>
      <c r="E148" s="4"/>
      <c r="F148" s="4"/>
      <c r="G148" s="4"/>
      <c r="H148" s="4"/>
      <c r="I148" s="4"/>
      <c r="J148" s="73"/>
      <c r="K148" s="73"/>
      <c r="L148" s="4"/>
    </row>
    <row r="149" spans="1:12" ht="15.75" x14ac:dyDescent="0.25">
      <c r="A149" s="58" t="s">
        <v>89</v>
      </c>
      <c r="B149" s="59"/>
      <c r="C149" s="78">
        <f>SUM(C144:C148)</f>
        <v>2391998.040000001</v>
      </c>
      <c r="D149" s="4"/>
      <c r="E149" s="4"/>
      <c r="F149" s="4"/>
      <c r="G149" s="4"/>
      <c r="H149" s="4"/>
      <c r="I149" s="4"/>
      <c r="J149" s="73"/>
      <c r="K149" s="73"/>
      <c r="L149" s="4"/>
    </row>
    <row r="150" spans="1:12" ht="5.0999999999999996" customHeight="1" x14ac:dyDescent="0.25">
      <c r="A150" s="58"/>
      <c r="B150" s="59"/>
      <c r="C150" s="78"/>
      <c r="D150" s="4"/>
      <c r="E150" s="4"/>
      <c r="F150" s="4"/>
      <c r="G150" s="4"/>
      <c r="H150" s="4"/>
      <c r="I150" s="4"/>
      <c r="J150" s="73"/>
      <c r="K150" s="73"/>
      <c r="L150" s="4"/>
    </row>
    <row r="151" spans="1:12" x14ac:dyDescent="0.2">
      <c r="A151" s="54" t="s">
        <v>90</v>
      </c>
      <c r="B151" s="55"/>
      <c r="C151" s="76"/>
      <c r="D151" s="90"/>
      <c r="E151" s="91"/>
      <c r="F151" s="4"/>
      <c r="G151" s="4"/>
      <c r="H151" s="4"/>
      <c r="I151" s="4"/>
      <c r="J151" s="73"/>
      <c r="K151" s="73"/>
      <c r="L151" s="4"/>
    </row>
    <row r="152" spans="1:12" x14ac:dyDescent="0.2">
      <c r="A152" s="57" t="s">
        <v>152</v>
      </c>
      <c r="B152" s="55"/>
      <c r="C152" s="76">
        <v>0</v>
      </c>
      <c r="D152" s="92"/>
      <c r="E152" s="91"/>
      <c r="F152" s="4"/>
      <c r="G152" s="4"/>
      <c r="H152" s="4"/>
      <c r="I152" s="4"/>
      <c r="J152" s="73"/>
      <c r="K152" s="73"/>
      <c r="L152" s="4"/>
    </row>
    <row r="153" spans="1:12" x14ac:dyDescent="0.2">
      <c r="A153" s="57" t="s">
        <v>156</v>
      </c>
      <c r="B153" s="55"/>
      <c r="C153" s="76">
        <v>10134.9</v>
      </c>
      <c r="D153" s="92"/>
      <c r="E153" s="91"/>
      <c r="F153" s="4"/>
      <c r="G153" s="4"/>
      <c r="H153" s="4"/>
      <c r="I153" s="4"/>
      <c r="J153" s="73"/>
      <c r="K153" s="73"/>
      <c r="L153" s="4"/>
    </row>
    <row r="154" spans="1:12" x14ac:dyDescent="0.2">
      <c r="A154" s="57" t="s">
        <v>154</v>
      </c>
      <c r="B154" s="55"/>
      <c r="C154" s="76">
        <v>1665.2</v>
      </c>
      <c r="D154" s="92"/>
      <c r="E154" s="91"/>
      <c r="F154" s="4"/>
      <c r="G154" s="4"/>
      <c r="H154" s="4"/>
      <c r="I154" s="4"/>
      <c r="J154" s="73"/>
      <c r="K154" s="73"/>
      <c r="L154" s="4"/>
    </row>
    <row r="155" spans="1:12" x14ac:dyDescent="0.2">
      <c r="A155" s="57" t="s">
        <v>153</v>
      </c>
      <c r="B155" s="55"/>
      <c r="C155" s="76">
        <v>3890</v>
      </c>
      <c r="D155" s="93"/>
      <c r="E155" s="94"/>
      <c r="F155" s="4"/>
      <c r="G155" s="4"/>
      <c r="H155" s="4"/>
      <c r="I155" s="4"/>
      <c r="J155" s="73"/>
      <c r="K155" s="73"/>
      <c r="L155" s="4"/>
    </row>
    <row r="156" spans="1:12" x14ac:dyDescent="0.2">
      <c r="A156" s="57" t="s">
        <v>253</v>
      </c>
      <c r="B156" s="55"/>
      <c r="C156" s="76">
        <f>990.15+990.15+990.15+990.15+990.15+990.15+990.15+990.15+990.15+990.15</f>
        <v>9901.4999999999982</v>
      </c>
      <c r="D156" s="93"/>
      <c r="E156" s="94"/>
      <c r="F156" s="4"/>
      <c r="G156" s="4"/>
      <c r="H156" s="4"/>
      <c r="I156" s="4"/>
      <c r="J156" s="73"/>
      <c r="K156" s="73"/>
      <c r="L156" s="4"/>
    </row>
    <row r="157" spans="1:12" ht="2.1" customHeight="1" x14ac:dyDescent="0.2">
      <c r="A157" s="57"/>
      <c r="B157" s="55"/>
      <c r="C157" s="77"/>
      <c r="D157" s="92"/>
      <c r="E157" s="91"/>
      <c r="F157" s="4"/>
      <c r="G157" s="4"/>
      <c r="H157" s="4"/>
      <c r="I157" s="4"/>
      <c r="J157" s="73"/>
      <c r="K157" s="73"/>
      <c r="L157" s="4"/>
    </row>
    <row r="158" spans="1:12" ht="15.75" x14ac:dyDescent="0.25">
      <c r="A158" s="58"/>
      <c r="B158" s="59"/>
      <c r="C158" s="78">
        <f>SUM(C152:C157)</f>
        <v>25591.599999999999</v>
      </c>
      <c r="D158" s="92"/>
      <c r="E158" s="91"/>
      <c r="F158" s="4"/>
      <c r="G158" s="4"/>
      <c r="H158" s="4"/>
      <c r="I158" s="4"/>
      <c r="J158" s="73"/>
      <c r="K158" s="73"/>
      <c r="L158" s="4"/>
    </row>
    <row r="159" spans="1:12" ht="2.1" customHeight="1" x14ac:dyDescent="0.25">
      <c r="A159" s="58"/>
      <c r="B159" s="59"/>
      <c r="C159" s="79"/>
      <c r="D159" s="90"/>
      <c r="E159" s="91"/>
      <c r="F159" s="4"/>
      <c r="G159" s="4"/>
      <c r="H159" s="4"/>
      <c r="I159" s="4"/>
      <c r="J159" s="73"/>
      <c r="K159" s="73"/>
      <c r="L159" s="4"/>
    </row>
    <row r="160" spans="1:12" ht="9.9499999999999993" customHeight="1" x14ac:dyDescent="0.2">
      <c r="A160" s="57"/>
      <c r="B160" s="55"/>
      <c r="C160" s="76"/>
      <c r="D160" s="90"/>
      <c r="E160" s="91"/>
      <c r="F160" s="4"/>
      <c r="G160" s="4"/>
      <c r="H160" s="4"/>
      <c r="I160" s="4"/>
      <c r="J160" s="73"/>
      <c r="K160" s="73"/>
      <c r="L160" s="4"/>
    </row>
    <row r="161" spans="1:13" ht="16.5" thickBot="1" x14ac:dyDescent="0.3">
      <c r="A161" s="60" t="s">
        <v>286</v>
      </c>
      <c r="B161" s="61"/>
      <c r="C161" s="75">
        <f>C149+C158</f>
        <v>2417589.6400000011</v>
      </c>
      <c r="D161" s="90"/>
      <c r="E161" s="91"/>
      <c r="F161" s="4"/>
      <c r="G161" s="4"/>
      <c r="H161" s="4"/>
      <c r="I161" s="4"/>
      <c r="J161" s="73"/>
      <c r="K161" s="73"/>
      <c r="L161" s="4"/>
      <c r="M161" s="4"/>
    </row>
    <row r="162" spans="1:13" x14ac:dyDescent="0.2">
      <c r="A162" s="62"/>
      <c r="B162" s="62"/>
      <c r="C162" s="63"/>
      <c r="D162" s="4"/>
      <c r="E162" s="4"/>
      <c r="F162" s="4"/>
      <c r="G162" s="4"/>
      <c r="H162" s="4"/>
      <c r="I162" s="4"/>
      <c r="J162" s="73"/>
      <c r="K162" s="73"/>
      <c r="L162" s="4"/>
    </row>
    <row r="163" spans="1:13" x14ac:dyDescent="0.2">
      <c r="C163" s="63"/>
      <c r="D163" s="4"/>
    </row>
    <row r="164" spans="1:13" x14ac:dyDescent="0.2">
      <c r="C164" s="14"/>
      <c r="D164" s="4"/>
    </row>
    <row r="165" spans="1:13" x14ac:dyDescent="0.2">
      <c r="C165" s="14"/>
      <c r="D165" s="4"/>
    </row>
    <row r="166" spans="1:13" x14ac:dyDescent="0.2">
      <c r="C166" s="15"/>
      <c r="D166" s="4"/>
      <c r="I166" s="4"/>
      <c r="K166" s="73"/>
      <c r="L166" s="4"/>
    </row>
    <row r="167" spans="1:13" x14ac:dyDescent="0.2">
      <c r="C167" s="15"/>
      <c r="D167" s="4"/>
    </row>
    <row r="168" spans="1:13" x14ac:dyDescent="0.2">
      <c r="C168" s="15"/>
      <c r="D168" s="4"/>
    </row>
    <row r="169" spans="1:13" x14ac:dyDescent="0.2">
      <c r="C169" s="15"/>
      <c r="D169" s="4"/>
    </row>
    <row r="170" spans="1:13" x14ac:dyDescent="0.2">
      <c r="C170" s="15"/>
      <c r="D170" s="4"/>
    </row>
    <row r="171" spans="1:13" x14ac:dyDescent="0.2">
      <c r="D171" s="4"/>
    </row>
    <row r="172" spans="1:13" x14ac:dyDescent="0.2">
      <c r="D172" s="4"/>
    </row>
    <row r="173" spans="1:13" x14ac:dyDescent="0.2">
      <c r="B173" s="11" t="s">
        <v>281</v>
      </c>
      <c r="D173" s="13" t="s">
        <v>240</v>
      </c>
      <c r="I173" s="13"/>
      <c r="K173" s="83"/>
      <c r="M173" s="11" t="s">
        <v>269</v>
      </c>
    </row>
    <row r="174" spans="1:13" x14ac:dyDescent="0.2">
      <c r="B174" s="11" t="s">
        <v>91</v>
      </c>
      <c r="D174" s="13" t="s">
        <v>92</v>
      </c>
      <c r="M174" s="11" t="s">
        <v>270</v>
      </c>
    </row>
    <row r="178" spans="7:12" x14ac:dyDescent="0.2">
      <c r="I178" s="4"/>
      <c r="K178" s="73"/>
      <c r="L178" s="4"/>
    </row>
    <row r="179" spans="7:12" x14ac:dyDescent="0.2">
      <c r="I179" s="4"/>
      <c r="K179" s="73"/>
      <c r="L179" s="4"/>
    </row>
    <row r="180" spans="7:12" x14ac:dyDescent="0.2">
      <c r="G180" s="64"/>
      <c r="I180" s="64"/>
      <c r="K180" s="74"/>
      <c r="L180" s="4"/>
    </row>
    <row r="181" spans="7:12" x14ac:dyDescent="0.2">
      <c r="G181" s="64"/>
      <c r="I181" s="64"/>
      <c r="K181" s="74"/>
      <c r="L181" s="4"/>
    </row>
    <row r="182" spans="7:12" x14ac:dyDescent="0.2">
      <c r="G182" s="64"/>
      <c r="L182" s="4"/>
    </row>
    <row r="183" spans="7:12" x14ac:dyDescent="0.2">
      <c r="G183" s="64"/>
    </row>
    <row r="184" spans="7:12" x14ac:dyDescent="0.2">
      <c r="G184" s="64"/>
    </row>
    <row r="185" spans="7:12" x14ac:dyDescent="0.2">
      <c r="G185" s="64"/>
      <c r="L185" s="4"/>
    </row>
    <row r="186" spans="7:12" x14ac:dyDescent="0.2">
      <c r="G186" s="64"/>
    </row>
    <row r="187" spans="7:12" x14ac:dyDescent="0.2">
      <c r="G187" s="64"/>
    </row>
    <row r="188" spans="7:12" x14ac:dyDescent="0.2">
      <c r="G188" s="64"/>
    </row>
    <row r="189" spans="7:12" x14ac:dyDescent="0.2">
      <c r="G189" s="64"/>
    </row>
    <row r="190" spans="7:12" x14ac:dyDescent="0.2">
      <c r="G190" s="64"/>
    </row>
    <row r="191" spans="7:12" x14ac:dyDescent="0.2">
      <c r="G191" s="64"/>
    </row>
    <row r="192" spans="7:12" x14ac:dyDescent="0.2">
      <c r="G192" s="64"/>
    </row>
    <row r="193" spans="7:7" x14ac:dyDescent="0.2">
      <c r="G193" s="64"/>
    </row>
    <row r="194" spans="7:7" x14ac:dyDescent="0.2">
      <c r="G194" s="64"/>
    </row>
    <row r="195" spans="7:7" x14ac:dyDescent="0.2">
      <c r="G195" s="64"/>
    </row>
    <row r="196" spans="7:7" x14ac:dyDescent="0.2">
      <c r="G196" s="64"/>
    </row>
    <row r="197" spans="7:7" x14ac:dyDescent="0.2">
      <c r="G197" s="64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53" max="14" man="1"/>
    <brk id="1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3"/>
  <sheetViews>
    <sheetView showGridLines="0" topLeftCell="A134" zoomScale="85" zoomScaleNormal="85" workbookViewId="0">
      <selection activeCell="C142" sqref="C142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9" width="16.42578125" style="11" customWidth="1"/>
    <col min="10" max="11" width="13.42578125" style="62" hidden="1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5"/>
      <c r="K1" s="65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5"/>
      <c r="K2" s="65"/>
      <c r="L2" s="16"/>
      <c r="M2" s="16"/>
      <c r="N2" s="16"/>
      <c r="O2" s="17"/>
    </row>
    <row r="3" spans="1:15" ht="15.75" x14ac:dyDescent="0.25">
      <c r="A3" s="16" t="s">
        <v>246</v>
      </c>
      <c r="B3" s="16"/>
      <c r="C3" s="16"/>
      <c r="D3" s="16"/>
      <c r="E3" s="16"/>
      <c r="F3" s="16"/>
      <c r="G3" s="16"/>
      <c r="H3" s="16"/>
      <c r="I3" s="16"/>
      <c r="J3" s="65"/>
      <c r="K3" s="65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5"/>
      <c r="K4" s="65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6"/>
      <c r="K5" s="66"/>
      <c r="L5" s="17"/>
      <c r="M5" s="17"/>
      <c r="N5" s="17"/>
      <c r="O5" s="17"/>
    </row>
    <row r="6" spans="1:15" ht="16.5" thickBot="1" x14ac:dyDescent="0.3">
      <c r="A6" s="18" t="s">
        <v>3</v>
      </c>
      <c r="B6" s="100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9" t="s">
        <v>18</v>
      </c>
      <c r="I6" s="84"/>
      <c r="J6" s="67" t="s">
        <v>155</v>
      </c>
      <c r="K6" s="80" t="s">
        <v>155</v>
      </c>
      <c r="L6" s="18" t="s">
        <v>5</v>
      </c>
      <c r="M6" s="100" t="s">
        <v>8</v>
      </c>
      <c r="N6" s="18" t="s">
        <v>9</v>
      </c>
      <c r="O6" s="18" t="s">
        <v>10</v>
      </c>
    </row>
    <row r="7" spans="1:15" ht="16.5" thickBot="1" x14ac:dyDescent="0.3">
      <c r="A7" s="21" t="s">
        <v>11</v>
      </c>
      <c r="B7" s="101"/>
      <c r="C7" s="21" t="s">
        <v>12</v>
      </c>
      <c r="D7" s="22" t="s">
        <v>13</v>
      </c>
      <c r="E7" s="22" t="s">
        <v>14</v>
      </c>
      <c r="F7" s="22" t="s">
        <v>13</v>
      </c>
      <c r="G7" s="22" t="s">
        <v>14</v>
      </c>
      <c r="H7" s="22" t="s">
        <v>13</v>
      </c>
      <c r="I7" s="23" t="s">
        <v>14</v>
      </c>
      <c r="J7" s="68" t="s">
        <v>13</v>
      </c>
      <c r="K7" s="81" t="s">
        <v>14</v>
      </c>
      <c r="L7" s="21" t="s">
        <v>15</v>
      </c>
      <c r="M7" s="101"/>
      <c r="N7" s="21" t="s">
        <v>16</v>
      </c>
      <c r="O7" s="21" t="s">
        <v>17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9"/>
      <c r="K8" s="69"/>
      <c r="L8" s="25"/>
      <c r="M8" s="25"/>
      <c r="N8" s="25"/>
      <c r="O8" s="26"/>
    </row>
    <row r="9" spans="1:15" ht="15.95" customHeight="1" x14ac:dyDescent="0.25">
      <c r="A9" s="27"/>
      <c r="B9" s="27" t="s">
        <v>187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19</v>
      </c>
      <c r="B10" s="31" t="s">
        <v>188</v>
      </c>
      <c r="C10" s="30">
        <v>33000</v>
      </c>
      <c r="D10" s="30"/>
      <c r="E10" s="30"/>
      <c r="F10" s="30"/>
      <c r="G10" s="30"/>
      <c r="H10" s="30"/>
      <c r="I10" s="30"/>
      <c r="J10" s="46"/>
      <c r="K10" s="46"/>
      <c r="L10" s="30">
        <f t="shared" ref="L10:L22" si="0">C10+D10-E10+F10-G10+J10-K10</f>
        <v>33000</v>
      </c>
      <c r="M10" s="30">
        <f>13600+7600</f>
        <v>21200</v>
      </c>
      <c r="N10" s="30">
        <f t="shared" ref="N10:N22" si="1">L10-M10</f>
        <v>11800</v>
      </c>
      <c r="O10" s="29">
        <f>M10/$M$26</f>
        <v>2.1660366837520643E-2</v>
      </c>
    </row>
    <row r="11" spans="1:15" ht="15.95" hidden="1" customHeight="1" x14ac:dyDescent="0.25">
      <c r="A11" s="31" t="s">
        <v>29</v>
      </c>
      <c r="B11" s="31" t="s">
        <v>30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si="0"/>
        <v>0</v>
      </c>
      <c r="M11" s="30">
        <v>0</v>
      </c>
      <c r="N11" s="30">
        <v>0</v>
      </c>
      <c r="O11" s="29"/>
    </row>
    <row r="12" spans="1:15" ht="15.95" customHeight="1" x14ac:dyDescent="0.25">
      <c r="A12" s="31" t="s">
        <v>20</v>
      </c>
      <c r="B12" s="31" t="s">
        <v>189</v>
      </c>
      <c r="C12" s="30">
        <v>25000</v>
      </c>
      <c r="D12" s="30"/>
      <c r="E12" s="30"/>
      <c r="F12" s="30"/>
      <c r="G12" s="30"/>
      <c r="H12" s="30"/>
      <c r="I12" s="30"/>
      <c r="J12" s="46"/>
      <c r="K12" s="46"/>
      <c r="L12" s="30">
        <f t="shared" si="0"/>
        <v>25000</v>
      </c>
      <c r="M12" s="30">
        <f>400.4+1360</f>
        <v>1760.4</v>
      </c>
      <c r="N12" s="30">
        <f t="shared" si="1"/>
        <v>23239.599999999999</v>
      </c>
      <c r="O12" s="29">
        <f>M12/$M$26</f>
        <v>1.7986278198477048E-3</v>
      </c>
    </row>
    <row r="13" spans="1:15" ht="15.95" customHeight="1" x14ac:dyDescent="0.25">
      <c r="A13" s="31" t="s">
        <v>21</v>
      </c>
      <c r="B13" s="31" t="s">
        <v>190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0"/>
        <v>3500</v>
      </c>
      <c r="M13" s="30">
        <v>0</v>
      </c>
      <c r="N13" s="30">
        <f t="shared" si="1"/>
        <v>3500</v>
      </c>
      <c r="O13" s="29">
        <f>M13/$M$26</f>
        <v>0</v>
      </c>
    </row>
    <row r="14" spans="1:15" ht="15.95" customHeight="1" x14ac:dyDescent="0.25">
      <c r="A14" s="31"/>
      <c r="B14" s="27" t="s">
        <v>191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192</v>
      </c>
      <c r="B15" s="31" t="s">
        <v>245</v>
      </c>
      <c r="C15" s="30">
        <v>3300</v>
      </c>
      <c r="D15" s="30"/>
      <c r="E15" s="30"/>
      <c r="F15" s="30"/>
      <c r="G15" s="30"/>
      <c r="H15" s="30"/>
      <c r="I15" s="30"/>
      <c r="J15" s="46"/>
      <c r="K15" s="46"/>
      <c r="L15" s="30">
        <f t="shared" si="0"/>
        <v>3300</v>
      </c>
      <c r="M15" s="30">
        <f>471.37+563.88</f>
        <v>1035.25</v>
      </c>
      <c r="N15" s="30">
        <f t="shared" si="1"/>
        <v>2264.75</v>
      </c>
      <c r="O15" s="29">
        <f>M15/$M$26</f>
        <v>1.0577308853086437E-3</v>
      </c>
    </row>
    <row r="16" spans="1:15" ht="15.95" customHeight="1" x14ac:dyDescent="0.25">
      <c r="A16" s="27" t="s">
        <v>242</v>
      </c>
      <c r="B16" s="27" t="s">
        <v>243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244</v>
      </c>
      <c r="B17" s="27" t="s">
        <v>241</v>
      </c>
      <c r="C17" s="89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22</v>
      </c>
      <c r="B18" s="31" t="s">
        <v>23</v>
      </c>
      <c r="C18" s="30">
        <v>2996512.52</v>
      </c>
      <c r="D18" s="30"/>
      <c r="E18" s="30"/>
      <c r="F18" s="30"/>
      <c r="G18" s="30"/>
      <c r="H18" s="30"/>
      <c r="I18" s="30"/>
      <c r="J18" s="46"/>
      <c r="K18" s="46"/>
      <c r="L18" s="30">
        <f t="shared" si="0"/>
        <v>2996512.52</v>
      </c>
      <c r="M18" s="30">
        <f>355870+247708.11</f>
        <v>603578.11</v>
      </c>
      <c r="N18" s="30">
        <f t="shared" si="1"/>
        <v>2392934.41</v>
      </c>
      <c r="O18" s="29">
        <f>M18/$M$26</f>
        <v>0.6166850602687447</v>
      </c>
    </row>
    <row r="19" spans="1:15" ht="15.95" hidden="1" customHeight="1" x14ac:dyDescent="0.25">
      <c r="A19" s="31" t="s">
        <v>24</v>
      </c>
      <c r="B19" s="31" t="s">
        <v>32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0"/>
        <v>0</v>
      </c>
      <c r="M19" s="30">
        <v>0</v>
      </c>
      <c r="N19" s="30">
        <f t="shared" si="1"/>
        <v>0</v>
      </c>
      <c r="O19" s="29">
        <f>M19/$M$26</f>
        <v>0</v>
      </c>
    </row>
    <row r="20" spans="1:15" ht="15.95" customHeight="1" x14ac:dyDescent="0.25">
      <c r="A20" s="31" t="s">
        <v>25</v>
      </c>
      <c r="B20" s="31" t="s">
        <v>26</v>
      </c>
      <c r="C20" s="30">
        <v>1809978.55</v>
      </c>
      <c r="D20" s="30"/>
      <c r="E20" s="30"/>
      <c r="F20" s="30"/>
      <c r="G20" s="30"/>
      <c r="H20" s="30"/>
      <c r="I20" s="30"/>
      <c r="J20" s="46"/>
      <c r="K20" s="46"/>
      <c r="L20" s="30">
        <f t="shared" si="0"/>
        <v>1809978.55</v>
      </c>
      <c r="M20" s="30">
        <v>351172.36</v>
      </c>
      <c r="N20" s="30">
        <f t="shared" si="1"/>
        <v>1458806.19</v>
      </c>
      <c r="O20" s="29">
        <f>M20/$M$26</f>
        <v>0.35879821418857832</v>
      </c>
    </row>
    <row r="21" spans="1:15" ht="15.95" customHeight="1" x14ac:dyDescent="0.25">
      <c r="A21" s="31" t="s">
        <v>27</v>
      </c>
      <c r="B21" s="31" t="s">
        <v>28</v>
      </c>
      <c r="C21" s="30">
        <v>20000</v>
      </c>
      <c r="D21" s="30"/>
      <c r="E21" s="30"/>
      <c r="F21" s="30"/>
      <c r="G21" s="30"/>
      <c r="H21" s="30"/>
      <c r="I21" s="30"/>
      <c r="J21" s="46"/>
      <c r="K21" s="46"/>
      <c r="L21" s="30">
        <f t="shared" si="0"/>
        <v>20000</v>
      </c>
      <c r="M21" s="30">
        <v>0</v>
      </c>
      <c r="N21" s="30">
        <f t="shared" si="1"/>
        <v>20000</v>
      </c>
      <c r="O21" s="29">
        <f>M21/$M$26</f>
        <v>0</v>
      </c>
    </row>
    <row r="22" spans="1:15" ht="15.95" customHeight="1" x14ac:dyDescent="0.25">
      <c r="A22" s="32" t="s">
        <v>31</v>
      </c>
      <c r="B22" s="32" t="s">
        <v>33</v>
      </c>
      <c r="C22" s="33">
        <v>239501.9</v>
      </c>
      <c r="D22" s="33"/>
      <c r="E22" s="33"/>
      <c r="F22" s="33"/>
      <c r="G22" s="33"/>
      <c r="H22" s="33"/>
      <c r="I22" s="33"/>
      <c r="J22" s="70"/>
      <c r="K22" s="70"/>
      <c r="L22" s="30">
        <f t="shared" si="0"/>
        <v>239501.9</v>
      </c>
      <c r="M22" s="30">
        <v>0</v>
      </c>
      <c r="N22" s="30">
        <f t="shared" si="1"/>
        <v>239501.9</v>
      </c>
      <c r="O22" s="29">
        <f>M22/$M$26</f>
        <v>0</v>
      </c>
    </row>
    <row r="23" spans="1:15" ht="15.95" customHeight="1" x14ac:dyDescent="0.25">
      <c r="A23" s="27"/>
      <c r="B23" s="27" t="s">
        <v>193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28"/>
      <c r="N23" s="28"/>
      <c r="O23" s="29"/>
    </row>
    <row r="24" spans="1:15" ht="15.95" customHeight="1" x14ac:dyDescent="0.25">
      <c r="A24" s="31" t="s">
        <v>196</v>
      </c>
      <c r="B24" s="31" t="s">
        <v>197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/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195</v>
      </c>
      <c r="B25" s="31" t="s">
        <v>194</v>
      </c>
      <c r="C25" s="30">
        <v>1025276.81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1025276.81</v>
      </c>
      <c r="M25" s="30">
        <v>0</v>
      </c>
      <c r="N25" s="30">
        <f>L25-M25</f>
        <v>1025276.81</v>
      </c>
      <c r="O25" s="29">
        <f>M25/$M$26</f>
        <v>0</v>
      </c>
    </row>
    <row r="26" spans="1:15" ht="18" customHeight="1" thickBot="1" x14ac:dyDescent="0.3">
      <c r="A26" s="34"/>
      <c r="B26" s="35" t="s">
        <v>34</v>
      </c>
      <c r="C26" s="36">
        <f>SUM(C9:C25)</f>
        <v>6416776.6100000013</v>
      </c>
      <c r="D26" s="36">
        <f t="shared" ref="D26:N26" si="2">SUM(D9:D25)</f>
        <v>0</v>
      </c>
      <c r="E26" s="36">
        <f t="shared" si="2"/>
        <v>0</v>
      </c>
      <c r="F26" s="36">
        <f t="shared" si="2"/>
        <v>0</v>
      </c>
      <c r="G26" s="36">
        <f t="shared" si="2"/>
        <v>0</v>
      </c>
      <c r="H26" s="36">
        <f t="shared" si="2"/>
        <v>0</v>
      </c>
      <c r="I26" s="36">
        <f t="shared" si="2"/>
        <v>0</v>
      </c>
      <c r="J26" s="36">
        <f t="shared" si="2"/>
        <v>0</v>
      </c>
      <c r="K26" s="36">
        <f t="shared" si="2"/>
        <v>0</v>
      </c>
      <c r="L26" s="36">
        <f t="shared" si="2"/>
        <v>6416776.6100000013</v>
      </c>
      <c r="M26" s="36">
        <f t="shared" si="2"/>
        <v>978746.12</v>
      </c>
      <c r="N26" s="36">
        <f t="shared" si="2"/>
        <v>5438030.4900000002</v>
      </c>
      <c r="O26" s="29"/>
    </row>
    <row r="27" spans="1:15" ht="15.95" customHeight="1" x14ac:dyDescent="0.2">
      <c r="A27" s="37"/>
      <c r="B27" s="37"/>
      <c r="C27" s="38">
        <f>6416776.61-C26</f>
        <v>0</v>
      </c>
      <c r="D27" s="38"/>
      <c r="E27" s="38"/>
      <c r="F27" s="38"/>
      <c r="G27" s="38"/>
      <c r="H27" s="38"/>
      <c r="I27" s="38"/>
      <c r="J27" s="69"/>
      <c r="K27" s="69"/>
      <c r="L27" s="38"/>
      <c r="M27" s="38"/>
      <c r="N27" s="38"/>
      <c r="O27" s="39"/>
    </row>
    <row r="28" spans="1:15" ht="15.95" customHeight="1" x14ac:dyDescent="0.25">
      <c r="A28" s="27" t="s">
        <v>35</v>
      </c>
      <c r="B28" s="27" t="s">
        <v>36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37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38</v>
      </c>
      <c r="B31" s="31" t="s">
        <v>159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v>127056.2</v>
      </c>
      <c r="N31" s="30">
        <f t="shared" ref="N31:N94" si="3">L31-M31</f>
        <v>657515.84000000008</v>
      </c>
      <c r="O31" s="40">
        <f t="shared" ref="O31:O40" si="4">M31/$M$132</f>
        <v>0.29228594388995643</v>
      </c>
    </row>
    <row r="32" spans="1:15" ht="15.95" customHeight="1" x14ac:dyDescent="0.2">
      <c r="A32" s="43" t="s">
        <v>39</v>
      </c>
      <c r="B32" s="31" t="s">
        <v>160</v>
      </c>
      <c r="C32" s="30">
        <v>4500</v>
      </c>
      <c r="D32" s="30"/>
      <c r="E32" s="30"/>
      <c r="F32" s="46"/>
      <c r="G32" s="46"/>
      <c r="H32" s="30"/>
      <c r="I32" s="30"/>
      <c r="J32" s="46"/>
      <c r="K32" s="46"/>
      <c r="L32" s="30">
        <f t="shared" ref="L32:L40" si="5">C32+D32-E32+F32-G32+H32-I32+J32-K32</f>
        <v>4500</v>
      </c>
      <c r="M32" s="30">
        <v>750</v>
      </c>
      <c r="N32" s="30">
        <f t="shared" si="3"/>
        <v>3750</v>
      </c>
      <c r="O32" s="40">
        <f t="shared" si="4"/>
        <v>1.7253345993148491E-3</v>
      </c>
    </row>
    <row r="33" spans="1:15" ht="15.95" customHeight="1" x14ac:dyDescent="0.2">
      <c r="A33" s="43" t="s">
        <v>40</v>
      </c>
      <c r="B33" s="31" t="s">
        <v>161</v>
      </c>
      <c r="C33" s="30">
        <v>281100</v>
      </c>
      <c r="D33" s="30"/>
      <c r="E33" s="30"/>
      <c r="F33" s="46"/>
      <c r="G33" s="46"/>
      <c r="H33" s="30"/>
      <c r="I33" s="30"/>
      <c r="J33" s="46"/>
      <c r="K33" s="46"/>
      <c r="L33" s="30">
        <f t="shared" si="5"/>
        <v>281100</v>
      </c>
      <c r="M33" s="30">
        <v>44100</v>
      </c>
      <c r="N33" s="30">
        <f t="shared" si="3"/>
        <v>237000</v>
      </c>
      <c r="O33" s="40">
        <f t="shared" si="4"/>
        <v>0.10144967443971312</v>
      </c>
    </row>
    <row r="34" spans="1:15" ht="15.95" customHeight="1" x14ac:dyDescent="0.2">
      <c r="A34" s="43" t="s">
        <v>41</v>
      </c>
      <c r="B34" s="31" t="s">
        <v>42</v>
      </c>
      <c r="C34" s="30">
        <v>17500</v>
      </c>
      <c r="D34" s="30"/>
      <c r="E34" s="30"/>
      <c r="F34" s="46"/>
      <c r="G34" s="46"/>
      <c r="H34" s="30"/>
      <c r="I34" s="30"/>
      <c r="J34" s="46"/>
      <c r="K34" s="46"/>
      <c r="L34" s="30">
        <f t="shared" si="5"/>
        <v>17500</v>
      </c>
      <c r="M34" s="30">
        <v>0</v>
      </c>
      <c r="N34" s="30">
        <f t="shared" si="3"/>
        <v>17500</v>
      </c>
      <c r="O34" s="40">
        <f t="shared" si="4"/>
        <v>0</v>
      </c>
    </row>
    <row r="35" spans="1:15" ht="15.95" customHeight="1" x14ac:dyDescent="0.2">
      <c r="A35" s="43" t="s">
        <v>43</v>
      </c>
      <c r="B35" s="31" t="s">
        <v>162</v>
      </c>
      <c r="C35" s="30">
        <v>34510.800000000003</v>
      </c>
      <c r="D35" s="30"/>
      <c r="E35" s="30"/>
      <c r="F35" s="46"/>
      <c r="G35" s="46"/>
      <c r="H35" s="30"/>
      <c r="I35" s="30"/>
      <c r="J35" s="46"/>
      <c r="K35" s="46"/>
      <c r="L35" s="30">
        <f t="shared" si="5"/>
        <v>34510.800000000003</v>
      </c>
      <c r="M35" s="30">
        <v>5248.24</v>
      </c>
      <c r="N35" s="30">
        <f t="shared" si="3"/>
        <v>29262.560000000005</v>
      </c>
      <c r="O35" s="40">
        <f t="shared" si="4"/>
        <v>1.2073293410010883E-2</v>
      </c>
    </row>
    <row r="36" spans="1:15" ht="15.95" customHeight="1" x14ac:dyDescent="0.2">
      <c r="A36" s="43" t="s">
        <v>44</v>
      </c>
      <c r="B36" s="31" t="s">
        <v>163</v>
      </c>
      <c r="C36" s="30">
        <v>87401.15</v>
      </c>
      <c r="D36" s="30"/>
      <c r="E36" s="30"/>
      <c r="F36" s="46"/>
      <c r="G36" s="46"/>
      <c r="H36" s="30"/>
      <c r="I36" s="30"/>
      <c r="J36" s="46"/>
      <c r="K36" s="46"/>
      <c r="L36" s="30">
        <f t="shared" si="5"/>
        <v>87401.15</v>
      </c>
      <c r="M36" s="30">
        <v>14116.880000000001</v>
      </c>
      <c r="N36" s="30">
        <f t="shared" si="3"/>
        <v>73284.26999999999</v>
      </c>
      <c r="O36" s="40">
        <f t="shared" si="4"/>
        <v>3.2475121997834408E-2</v>
      </c>
    </row>
    <row r="37" spans="1:15" ht="15.95" customHeight="1" x14ac:dyDescent="0.2">
      <c r="A37" s="43" t="s">
        <v>45</v>
      </c>
      <c r="B37" s="31" t="s">
        <v>164</v>
      </c>
      <c r="C37" s="30">
        <v>8190.84</v>
      </c>
      <c r="D37" s="30"/>
      <c r="E37" s="30"/>
      <c r="F37" s="46"/>
      <c r="G37" s="46"/>
      <c r="H37" s="30"/>
      <c r="I37" s="30"/>
      <c r="J37" s="46"/>
      <c r="K37" s="46"/>
      <c r="L37" s="30">
        <f t="shared" si="5"/>
        <v>8190.84</v>
      </c>
      <c r="M37" s="30">
        <v>1323.05</v>
      </c>
      <c r="N37" s="30">
        <f t="shared" si="3"/>
        <v>6867.79</v>
      </c>
      <c r="O37" s="40">
        <f t="shared" si="4"/>
        <v>3.0436052554980147E-3</v>
      </c>
    </row>
    <row r="38" spans="1:15" ht="15.95" customHeight="1" x14ac:dyDescent="0.2">
      <c r="A38" s="43" t="s">
        <v>46</v>
      </c>
      <c r="B38" s="31" t="s">
        <v>47</v>
      </c>
      <c r="C38" s="30">
        <v>67581.009999999995</v>
      </c>
      <c r="D38" s="30"/>
      <c r="E38" s="30"/>
      <c r="F38" s="46"/>
      <c r="G38" s="46"/>
      <c r="H38" s="30"/>
      <c r="I38" s="30"/>
      <c r="J38" s="46"/>
      <c r="K38" s="46"/>
      <c r="L38" s="30">
        <f t="shared" si="5"/>
        <v>67581.009999999995</v>
      </c>
      <c r="M38" s="30">
        <v>0</v>
      </c>
      <c r="N38" s="30">
        <f t="shared" si="3"/>
        <v>67581.009999999995</v>
      </c>
      <c r="O38" s="40">
        <f t="shared" si="4"/>
        <v>0</v>
      </c>
    </row>
    <row r="39" spans="1:15" ht="15.95" customHeight="1" x14ac:dyDescent="0.2">
      <c r="A39" s="43" t="s">
        <v>48</v>
      </c>
      <c r="B39" s="31" t="s">
        <v>165</v>
      </c>
      <c r="C39" s="30">
        <v>67581.009999999995</v>
      </c>
      <c r="D39" s="30"/>
      <c r="E39" s="30"/>
      <c r="F39" s="46"/>
      <c r="G39" s="46"/>
      <c r="H39" s="30"/>
      <c r="I39" s="30"/>
      <c r="J39" s="46"/>
      <c r="K39" s="46"/>
      <c r="L39" s="30">
        <f t="shared" si="5"/>
        <v>67581.009999999995</v>
      </c>
      <c r="M39" s="30">
        <v>0</v>
      </c>
      <c r="N39" s="30">
        <f t="shared" si="3"/>
        <v>67581.009999999995</v>
      </c>
      <c r="O39" s="40">
        <f t="shared" si="4"/>
        <v>0</v>
      </c>
    </row>
    <row r="40" spans="1:15" ht="15.95" customHeight="1" x14ac:dyDescent="0.2">
      <c r="A40" s="43" t="s">
        <v>49</v>
      </c>
      <c r="B40" s="31" t="s">
        <v>50</v>
      </c>
      <c r="C40" s="30">
        <v>4400</v>
      </c>
      <c r="D40" s="30"/>
      <c r="E40" s="30"/>
      <c r="F40" s="46"/>
      <c r="G40" s="46"/>
      <c r="H40" s="30"/>
      <c r="I40" s="30"/>
      <c r="J40" s="46"/>
      <c r="K40" s="46"/>
      <c r="L40" s="30">
        <f t="shared" si="5"/>
        <v>4400</v>
      </c>
      <c r="M40" s="30">
        <v>0</v>
      </c>
      <c r="N40" s="30">
        <f t="shared" si="3"/>
        <v>4400</v>
      </c>
      <c r="O40" s="40">
        <f t="shared" si="4"/>
        <v>0</v>
      </c>
    </row>
    <row r="41" spans="1:15" ht="15.95" customHeight="1" x14ac:dyDescent="0.2">
      <c r="A41" s="43"/>
      <c r="B41" s="31"/>
      <c r="C41" s="30"/>
      <c r="D41" s="30"/>
      <c r="E41" s="30"/>
      <c r="F41" s="46"/>
      <c r="G41" s="46"/>
      <c r="H41" s="30"/>
      <c r="I41" s="30"/>
      <c r="J41" s="46"/>
      <c r="K41" s="46"/>
      <c r="L41" s="30"/>
      <c r="M41" s="30"/>
      <c r="N41" s="30"/>
      <c r="O41" s="40"/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5">
      <c r="A43" s="41">
        <v>1</v>
      </c>
      <c r="B43" s="42" t="s">
        <v>51</v>
      </c>
      <c r="C43" s="28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">
      <c r="A44" s="43" t="s">
        <v>96</v>
      </c>
      <c r="B44" s="31" t="s">
        <v>52</v>
      </c>
      <c r="C44" s="30">
        <v>13750</v>
      </c>
      <c r="D44" s="30"/>
      <c r="E44" s="30"/>
      <c r="F44" s="46"/>
      <c r="G44" s="46"/>
      <c r="H44" s="30"/>
      <c r="I44" s="30"/>
      <c r="J44" s="46"/>
      <c r="K44" s="46"/>
      <c r="L44" s="30">
        <f t="shared" ref="L44:L74" si="6">C44+D44-E44+F44-G44+H44-I44+J44-K44</f>
        <v>13750</v>
      </c>
      <c r="M44" s="30">
        <v>1212.69</v>
      </c>
      <c r="N44" s="30">
        <f t="shared" si="3"/>
        <v>12537.31</v>
      </c>
      <c r="O44" s="40">
        <f t="shared" ref="O44:O74" si="7">M44/$M$132</f>
        <v>2.789728020324166E-3</v>
      </c>
    </row>
    <row r="45" spans="1:15" ht="15.95" customHeight="1" x14ac:dyDescent="0.2">
      <c r="A45" s="43" t="s">
        <v>97</v>
      </c>
      <c r="B45" s="31" t="s">
        <v>53</v>
      </c>
      <c r="C45" s="30">
        <v>26100</v>
      </c>
      <c r="D45" s="30"/>
      <c r="E45" s="30"/>
      <c r="F45" s="46"/>
      <c r="G45" s="46"/>
      <c r="H45" s="30"/>
      <c r="I45" s="30"/>
      <c r="J45" s="46"/>
      <c r="K45" s="46"/>
      <c r="L45" s="30">
        <f t="shared" si="6"/>
        <v>26100</v>
      </c>
      <c r="M45" s="30">
        <v>5077.08</v>
      </c>
      <c r="N45" s="30">
        <f t="shared" si="3"/>
        <v>21022.92</v>
      </c>
      <c r="O45" s="40">
        <f t="shared" si="7"/>
        <v>1.1679549049985912E-2</v>
      </c>
    </row>
    <row r="46" spans="1:15" ht="15.95" customHeight="1" x14ac:dyDescent="0.2">
      <c r="A46" s="43" t="s">
        <v>98</v>
      </c>
      <c r="B46" s="31" t="s">
        <v>54</v>
      </c>
      <c r="C46" s="30">
        <v>2000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2000</v>
      </c>
      <c r="M46" s="30">
        <v>135</v>
      </c>
      <c r="N46" s="30">
        <f t="shared" si="3"/>
        <v>1865</v>
      </c>
      <c r="O46" s="40">
        <f t="shared" si="7"/>
        <v>3.1056022787667281E-4</v>
      </c>
    </row>
    <row r="47" spans="1:15" ht="15.95" customHeight="1" x14ac:dyDescent="0.2">
      <c r="A47" s="43" t="s">
        <v>99</v>
      </c>
      <c r="B47" s="31" t="s">
        <v>166</v>
      </c>
      <c r="C47" s="30">
        <v>8000</v>
      </c>
      <c r="D47" s="30"/>
      <c r="E47" s="30"/>
      <c r="F47" s="46"/>
      <c r="G47" s="46"/>
      <c r="H47" s="30"/>
      <c r="I47" s="30"/>
      <c r="J47" s="46"/>
      <c r="K47" s="46"/>
      <c r="L47" s="30">
        <f t="shared" si="6"/>
        <v>8000</v>
      </c>
      <c r="M47" s="30">
        <v>2911.93</v>
      </c>
      <c r="N47" s="30">
        <f t="shared" si="3"/>
        <v>5088.07</v>
      </c>
      <c r="O47" s="40">
        <f t="shared" si="7"/>
        <v>6.6987381063771841E-3</v>
      </c>
    </row>
    <row r="48" spans="1:15" ht="15.95" customHeight="1" x14ac:dyDescent="0.2">
      <c r="A48" s="43" t="s">
        <v>100</v>
      </c>
      <c r="B48" s="31" t="s">
        <v>167</v>
      </c>
      <c r="C48" s="30">
        <v>14250</v>
      </c>
      <c r="D48" s="30"/>
      <c r="E48" s="30"/>
      <c r="F48" s="46"/>
      <c r="G48" s="46"/>
      <c r="H48" s="30"/>
      <c r="I48" s="30"/>
      <c r="J48" s="46"/>
      <c r="K48" s="46"/>
      <c r="L48" s="30">
        <f t="shared" si="6"/>
        <v>14250</v>
      </c>
      <c r="M48" s="30">
        <v>201</v>
      </c>
      <c r="N48" s="30">
        <f t="shared" si="3"/>
        <v>14049</v>
      </c>
      <c r="O48" s="40">
        <f t="shared" si="7"/>
        <v>4.6238967261637954E-4</v>
      </c>
    </row>
    <row r="49" spans="1:15" ht="15.95" customHeight="1" x14ac:dyDescent="0.2">
      <c r="A49" s="43" t="s">
        <v>101</v>
      </c>
      <c r="B49" s="31" t="s">
        <v>168</v>
      </c>
      <c r="C49" s="30">
        <v>1176868.53</v>
      </c>
      <c r="D49" s="30"/>
      <c r="E49" s="30"/>
      <c r="F49" s="46"/>
      <c r="G49" s="46"/>
      <c r="H49" s="30"/>
      <c r="I49" s="30"/>
      <c r="J49" s="46"/>
      <c r="K49" s="46"/>
      <c r="L49" s="30">
        <f t="shared" si="6"/>
        <v>1176868.53</v>
      </c>
      <c r="M49" s="30">
        <v>0</v>
      </c>
      <c r="N49" s="30">
        <f t="shared" si="3"/>
        <v>1176868.53</v>
      </c>
      <c r="O49" s="40">
        <f t="shared" si="7"/>
        <v>0</v>
      </c>
    </row>
    <row r="50" spans="1:15" ht="15.95" customHeight="1" x14ac:dyDescent="0.2">
      <c r="A50" s="43" t="s">
        <v>102</v>
      </c>
      <c r="B50" s="31" t="s">
        <v>55</v>
      </c>
      <c r="C50" s="30">
        <v>619609.80000000005</v>
      </c>
      <c r="D50" s="30"/>
      <c r="E50" s="30"/>
      <c r="F50" s="46"/>
      <c r="G50" s="46"/>
      <c r="H50" s="30"/>
      <c r="I50" s="30"/>
      <c r="J50" s="46"/>
      <c r="K50" s="46"/>
      <c r="L50" s="30">
        <f t="shared" si="6"/>
        <v>619609.80000000005</v>
      </c>
      <c r="M50" s="30">
        <v>16309.369999999999</v>
      </c>
      <c r="N50" s="30">
        <f t="shared" si="3"/>
        <v>603300.43000000005</v>
      </c>
      <c r="O50" s="40">
        <f t="shared" si="7"/>
        <v>3.7518827138703491E-2</v>
      </c>
    </row>
    <row r="51" spans="1:15" ht="15.95" customHeight="1" x14ac:dyDescent="0.2">
      <c r="A51" s="43" t="s">
        <v>103</v>
      </c>
      <c r="B51" s="31" t="s">
        <v>169</v>
      </c>
      <c r="C51" s="30">
        <v>504047.6</v>
      </c>
      <c r="D51" s="30"/>
      <c r="E51" s="30"/>
      <c r="F51" s="46"/>
      <c r="G51" s="46"/>
      <c r="H51" s="30"/>
      <c r="I51" s="30"/>
      <c r="J51" s="46"/>
      <c r="K51" s="46"/>
      <c r="L51" s="30">
        <f t="shared" si="6"/>
        <v>504047.6</v>
      </c>
      <c r="M51" s="30">
        <v>142387.37999999998</v>
      </c>
      <c r="N51" s="30">
        <f t="shared" si="3"/>
        <v>361660.22</v>
      </c>
      <c r="O51" s="40">
        <f t="shared" si="7"/>
        <v>0.32755449762638816</v>
      </c>
    </row>
    <row r="52" spans="1:15" ht="15.95" customHeight="1" x14ac:dyDescent="0.2">
      <c r="A52" s="43" t="s">
        <v>104</v>
      </c>
      <c r="B52" s="31" t="s">
        <v>56</v>
      </c>
      <c r="C52" s="30">
        <v>20750</v>
      </c>
      <c r="D52" s="30"/>
      <c r="E52" s="30"/>
      <c r="F52" s="46"/>
      <c r="G52" s="46"/>
      <c r="H52" s="30"/>
      <c r="I52" s="30"/>
      <c r="J52" s="46"/>
      <c r="K52" s="46"/>
      <c r="L52" s="30">
        <f t="shared" si="6"/>
        <v>20750</v>
      </c>
      <c r="M52" s="30">
        <v>0</v>
      </c>
      <c r="N52" s="30">
        <f t="shared" si="3"/>
        <v>20750</v>
      </c>
      <c r="O52" s="40">
        <f t="shared" si="7"/>
        <v>0</v>
      </c>
    </row>
    <row r="53" spans="1:15" ht="15.95" customHeight="1" x14ac:dyDescent="0.2">
      <c r="A53" s="43" t="s">
        <v>105</v>
      </c>
      <c r="B53" s="31" t="s">
        <v>57</v>
      </c>
      <c r="C53" s="30">
        <v>42500</v>
      </c>
      <c r="D53" s="30"/>
      <c r="E53" s="30"/>
      <c r="F53" s="46"/>
      <c r="G53" s="46"/>
      <c r="H53" s="30"/>
      <c r="I53" s="30"/>
      <c r="J53" s="46"/>
      <c r="K53" s="46"/>
      <c r="L53" s="30">
        <f t="shared" si="6"/>
        <v>42500</v>
      </c>
      <c r="M53" s="30">
        <v>0</v>
      </c>
      <c r="N53" s="30">
        <f t="shared" si="3"/>
        <v>42500</v>
      </c>
      <c r="O53" s="40">
        <f t="shared" si="7"/>
        <v>0</v>
      </c>
    </row>
    <row r="54" spans="1:15" ht="15.95" customHeight="1" x14ac:dyDescent="0.2">
      <c r="A54" s="43" t="s">
        <v>106</v>
      </c>
      <c r="B54" s="31" t="s">
        <v>58</v>
      </c>
      <c r="C54" s="30">
        <v>4400</v>
      </c>
      <c r="D54" s="30"/>
      <c r="E54" s="30"/>
      <c r="F54" s="46"/>
      <c r="G54" s="46"/>
      <c r="H54" s="30"/>
      <c r="I54" s="30"/>
      <c r="J54" s="46"/>
      <c r="K54" s="46"/>
      <c r="L54" s="30">
        <f t="shared" si="6"/>
        <v>4400</v>
      </c>
      <c r="M54" s="30">
        <v>0</v>
      </c>
      <c r="N54" s="30">
        <f t="shared" si="3"/>
        <v>4400</v>
      </c>
      <c r="O54" s="40">
        <f t="shared" si="7"/>
        <v>0</v>
      </c>
    </row>
    <row r="55" spans="1:15" ht="15.95" customHeight="1" x14ac:dyDescent="0.2">
      <c r="A55" s="43" t="s">
        <v>107</v>
      </c>
      <c r="B55" s="31" t="s">
        <v>170</v>
      </c>
      <c r="C55" s="30">
        <v>3004.32</v>
      </c>
      <c r="D55" s="30"/>
      <c r="E55" s="30"/>
      <c r="F55" s="46"/>
      <c r="G55" s="46"/>
      <c r="H55" s="30"/>
      <c r="I55" s="30"/>
      <c r="J55" s="46"/>
      <c r="K55" s="46"/>
      <c r="L55" s="30">
        <f t="shared" si="6"/>
        <v>3004.32</v>
      </c>
      <c r="M55" s="30">
        <v>630</v>
      </c>
      <c r="N55" s="30">
        <f t="shared" si="3"/>
        <v>2374.3200000000002</v>
      </c>
      <c r="O55" s="40">
        <f t="shared" si="7"/>
        <v>1.4492810634244731E-3</v>
      </c>
    </row>
    <row r="56" spans="1:15" ht="15.95" customHeight="1" x14ac:dyDescent="0.2">
      <c r="A56" s="43" t="s">
        <v>108</v>
      </c>
      <c r="B56" s="31" t="s">
        <v>171</v>
      </c>
      <c r="C56" s="30">
        <v>7750</v>
      </c>
      <c r="D56" s="30"/>
      <c r="E56" s="30"/>
      <c r="F56" s="46"/>
      <c r="G56" s="46"/>
      <c r="H56" s="30"/>
      <c r="I56" s="30"/>
      <c r="J56" s="46"/>
      <c r="K56" s="46"/>
      <c r="L56" s="30">
        <f t="shared" si="6"/>
        <v>7750</v>
      </c>
      <c r="M56" s="30">
        <v>0</v>
      </c>
      <c r="N56" s="30">
        <f t="shared" si="3"/>
        <v>7750</v>
      </c>
      <c r="O56" s="40">
        <f t="shared" si="7"/>
        <v>0</v>
      </c>
    </row>
    <row r="57" spans="1:15" ht="15.95" customHeight="1" x14ac:dyDescent="0.2">
      <c r="A57" s="43" t="s">
        <v>109</v>
      </c>
      <c r="B57" s="31" t="s">
        <v>172</v>
      </c>
      <c r="C57" s="30">
        <v>7000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7000</v>
      </c>
      <c r="M57" s="30">
        <v>0</v>
      </c>
      <c r="N57" s="30">
        <f t="shared" si="3"/>
        <v>7000</v>
      </c>
      <c r="O57" s="40">
        <f t="shared" si="7"/>
        <v>0</v>
      </c>
    </row>
    <row r="58" spans="1:15" ht="15.95" customHeight="1" x14ac:dyDescent="0.2">
      <c r="A58" s="43" t="s">
        <v>110</v>
      </c>
      <c r="B58" s="31" t="s">
        <v>173</v>
      </c>
      <c r="C58" s="30">
        <v>4000</v>
      </c>
      <c r="D58" s="30"/>
      <c r="E58" s="30"/>
      <c r="F58" s="46"/>
      <c r="G58" s="46"/>
      <c r="H58" s="30"/>
      <c r="I58" s="30"/>
      <c r="J58" s="46"/>
      <c r="K58" s="46"/>
      <c r="L58" s="30">
        <f t="shared" si="6"/>
        <v>4000</v>
      </c>
      <c r="M58" s="30">
        <v>0</v>
      </c>
      <c r="N58" s="30">
        <f t="shared" si="3"/>
        <v>4000</v>
      </c>
      <c r="O58" s="40">
        <f t="shared" si="7"/>
        <v>0</v>
      </c>
    </row>
    <row r="59" spans="1:15" ht="15.95" hidden="1" customHeight="1" x14ac:dyDescent="0.2">
      <c r="A59" s="43" t="s">
        <v>111</v>
      </c>
      <c r="B59" s="31" t="s">
        <v>174</v>
      </c>
      <c r="C59" s="30"/>
      <c r="D59" s="30"/>
      <c r="E59" s="30"/>
      <c r="F59" s="46"/>
      <c r="G59" s="46"/>
      <c r="H59" s="30"/>
      <c r="I59" s="30"/>
      <c r="J59" s="46"/>
      <c r="K59" s="46"/>
      <c r="L59" s="30">
        <f t="shared" si="6"/>
        <v>0</v>
      </c>
      <c r="M59" s="30">
        <v>0</v>
      </c>
      <c r="N59" s="30">
        <f t="shared" si="3"/>
        <v>0</v>
      </c>
      <c r="O59" s="40">
        <f t="shared" si="7"/>
        <v>0</v>
      </c>
    </row>
    <row r="60" spans="1:15" ht="15.95" customHeight="1" x14ac:dyDescent="0.2">
      <c r="A60" s="43" t="s">
        <v>112</v>
      </c>
      <c r="B60" s="31" t="s">
        <v>175</v>
      </c>
      <c r="C60" s="30">
        <v>9750</v>
      </c>
      <c r="D60" s="30"/>
      <c r="E60" s="30"/>
      <c r="F60" s="46"/>
      <c r="G60" s="46"/>
      <c r="H60" s="30"/>
      <c r="I60" s="30"/>
      <c r="J60" s="46"/>
      <c r="K60" s="46"/>
      <c r="L60" s="30">
        <f t="shared" si="6"/>
        <v>9750</v>
      </c>
      <c r="M60" s="30">
        <v>0</v>
      </c>
      <c r="N60" s="30">
        <f t="shared" si="3"/>
        <v>9750</v>
      </c>
      <c r="O60" s="40">
        <f t="shared" si="7"/>
        <v>0</v>
      </c>
    </row>
    <row r="61" spans="1:15" ht="15.95" customHeight="1" x14ac:dyDescent="0.2">
      <c r="A61" s="43" t="s">
        <v>113</v>
      </c>
      <c r="B61" s="31" t="s">
        <v>176</v>
      </c>
      <c r="C61" s="30">
        <v>260706.83</v>
      </c>
      <c r="D61" s="30"/>
      <c r="E61" s="30"/>
      <c r="F61" s="46"/>
      <c r="G61" s="46"/>
      <c r="H61" s="30"/>
      <c r="I61" s="30"/>
      <c r="J61" s="46"/>
      <c r="K61" s="46"/>
      <c r="L61" s="30">
        <f t="shared" si="6"/>
        <v>260706.83</v>
      </c>
      <c r="M61" s="30">
        <v>0</v>
      </c>
      <c r="N61" s="30">
        <f t="shared" si="3"/>
        <v>260706.83</v>
      </c>
      <c r="O61" s="40">
        <f t="shared" si="7"/>
        <v>0</v>
      </c>
    </row>
    <row r="62" spans="1:15" ht="15.95" customHeight="1" x14ac:dyDescent="0.2">
      <c r="A62" s="43" t="s">
        <v>114</v>
      </c>
      <c r="B62" s="31" t="s">
        <v>177</v>
      </c>
      <c r="C62" s="30">
        <v>15000</v>
      </c>
      <c r="D62" s="30"/>
      <c r="E62" s="30"/>
      <c r="F62" s="46"/>
      <c r="G62" s="46"/>
      <c r="H62" s="30"/>
      <c r="I62" s="30"/>
      <c r="J62" s="46"/>
      <c r="K62" s="46"/>
      <c r="L62" s="30">
        <f t="shared" si="6"/>
        <v>15000</v>
      </c>
      <c r="M62" s="30">
        <v>4800</v>
      </c>
      <c r="N62" s="30">
        <f t="shared" si="3"/>
        <v>10200</v>
      </c>
      <c r="O62" s="40">
        <f t="shared" si="7"/>
        <v>1.1042141435615034E-2</v>
      </c>
    </row>
    <row r="63" spans="1:15" ht="15.95" customHeight="1" x14ac:dyDescent="0.2">
      <c r="A63" s="43" t="s">
        <v>115</v>
      </c>
      <c r="B63" s="31" t="s">
        <v>178</v>
      </c>
      <c r="C63" s="30">
        <v>54000</v>
      </c>
      <c r="D63" s="30"/>
      <c r="E63" s="30"/>
      <c r="F63" s="46"/>
      <c r="G63" s="46"/>
      <c r="H63" s="30"/>
      <c r="I63" s="30"/>
      <c r="J63" s="46"/>
      <c r="K63" s="46"/>
      <c r="L63" s="30">
        <f t="shared" si="6"/>
        <v>54000</v>
      </c>
      <c r="M63" s="30">
        <v>0</v>
      </c>
      <c r="N63" s="30">
        <f t="shared" si="3"/>
        <v>54000</v>
      </c>
      <c r="O63" s="40">
        <f t="shared" si="7"/>
        <v>0</v>
      </c>
    </row>
    <row r="64" spans="1:15" ht="15.95" customHeight="1" x14ac:dyDescent="0.2">
      <c r="A64" s="43" t="s">
        <v>116</v>
      </c>
      <c r="B64" s="31" t="s">
        <v>59</v>
      </c>
      <c r="C64" s="30">
        <v>7500</v>
      </c>
      <c r="D64" s="30"/>
      <c r="E64" s="30"/>
      <c r="F64" s="46"/>
      <c r="G64" s="46"/>
      <c r="H64" s="30"/>
      <c r="I64" s="30"/>
      <c r="J64" s="46"/>
      <c r="K64" s="46"/>
      <c r="L64" s="30">
        <f t="shared" si="6"/>
        <v>7500</v>
      </c>
      <c r="M64" s="30">
        <v>500</v>
      </c>
      <c r="N64" s="30">
        <f t="shared" si="3"/>
        <v>7000</v>
      </c>
      <c r="O64" s="40">
        <f t="shared" si="7"/>
        <v>1.1502230662098992E-3</v>
      </c>
    </row>
    <row r="65" spans="1:15" ht="15.95" customHeight="1" x14ac:dyDescent="0.2">
      <c r="A65" s="43" t="s">
        <v>117</v>
      </c>
      <c r="B65" s="31" t="s">
        <v>179</v>
      </c>
      <c r="C65" s="30">
        <v>24540</v>
      </c>
      <c r="D65" s="30"/>
      <c r="E65" s="30"/>
      <c r="F65" s="46"/>
      <c r="G65" s="46"/>
      <c r="H65" s="30"/>
      <c r="I65" s="30"/>
      <c r="J65" s="46"/>
      <c r="K65" s="46"/>
      <c r="L65" s="30">
        <f t="shared" si="6"/>
        <v>24540</v>
      </c>
      <c r="M65" s="30">
        <v>1857</v>
      </c>
      <c r="N65" s="30">
        <f t="shared" si="3"/>
        <v>22683</v>
      </c>
      <c r="O65" s="40">
        <f t="shared" si="7"/>
        <v>4.2719284679035661E-3</v>
      </c>
    </row>
    <row r="66" spans="1:15" ht="15.95" customHeight="1" x14ac:dyDescent="0.2">
      <c r="A66" s="43" t="s">
        <v>118</v>
      </c>
      <c r="B66" s="31" t="s">
        <v>180</v>
      </c>
      <c r="C66" s="30">
        <v>8000</v>
      </c>
      <c r="D66" s="30"/>
      <c r="E66" s="30"/>
      <c r="F66" s="46"/>
      <c r="G66" s="46"/>
      <c r="H66" s="30"/>
      <c r="I66" s="30"/>
      <c r="J66" s="46"/>
      <c r="K66" s="46"/>
      <c r="L66" s="30">
        <f t="shared" si="6"/>
        <v>8000</v>
      </c>
      <c r="M66" s="30">
        <v>2400</v>
      </c>
      <c r="N66" s="30">
        <f t="shared" si="3"/>
        <v>5600</v>
      </c>
      <c r="O66" s="40">
        <f t="shared" si="7"/>
        <v>5.5210707178075169E-3</v>
      </c>
    </row>
    <row r="67" spans="1:15" ht="15.95" customHeight="1" x14ac:dyDescent="0.2">
      <c r="A67" s="43" t="s">
        <v>119</v>
      </c>
      <c r="B67" s="31" t="s">
        <v>181</v>
      </c>
      <c r="C67" s="30">
        <v>8000</v>
      </c>
      <c r="D67" s="30"/>
      <c r="E67" s="30"/>
      <c r="F67" s="46"/>
      <c r="G67" s="46"/>
      <c r="H67" s="30"/>
      <c r="I67" s="30"/>
      <c r="J67" s="46"/>
      <c r="K67" s="46"/>
      <c r="L67" s="30">
        <f t="shared" si="6"/>
        <v>8000</v>
      </c>
      <c r="M67" s="30">
        <v>0</v>
      </c>
      <c r="N67" s="30">
        <f t="shared" si="3"/>
        <v>8000</v>
      </c>
      <c r="O67" s="40">
        <f t="shared" si="7"/>
        <v>0</v>
      </c>
    </row>
    <row r="68" spans="1:15" ht="15.95" customHeight="1" x14ac:dyDescent="0.2">
      <c r="A68" s="43" t="s">
        <v>120</v>
      </c>
      <c r="B68" s="31" t="s">
        <v>60</v>
      </c>
      <c r="C68" s="30">
        <v>225800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225800</v>
      </c>
      <c r="M68" s="30">
        <v>23602.5</v>
      </c>
      <c r="N68" s="30">
        <f t="shared" si="3"/>
        <v>202197.5</v>
      </c>
      <c r="O68" s="40">
        <f t="shared" si="7"/>
        <v>5.4296279840438298E-2</v>
      </c>
    </row>
    <row r="69" spans="1:15" ht="15.95" customHeight="1" x14ac:dyDescent="0.2">
      <c r="A69" s="43" t="s">
        <v>121</v>
      </c>
      <c r="B69" s="31" t="s">
        <v>182</v>
      </c>
      <c r="C69" s="30">
        <v>8250</v>
      </c>
      <c r="D69" s="30"/>
      <c r="E69" s="30"/>
      <c r="F69" s="46"/>
      <c r="G69" s="46"/>
      <c r="H69" s="30"/>
      <c r="I69" s="30"/>
      <c r="J69" s="46"/>
      <c r="K69" s="46"/>
      <c r="L69" s="30">
        <f t="shared" si="6"/>
        <v>8250</v>
      </c>
      <c r="M69" s="30">
        <v>0</v>
      </c>
      <c r="N69" s="30">
        <f t="shared" si="3"/>
        <v>8250</v>
      </c>
      <c r="O69" s="40">
        <f t="shared" si="7"/>
        <v>0</v>
      </c>
    </row>
    <row r="70" spans="1:15" ht="15.95" customHeight="1" x14ac:dyDescent="0.2">
      <c r="A70" s="43" t="s">
        <v>122</v>
      </c>
      <c r="B70" s="31" t="s">
        <v>183</v>
      </c>
      <c r="C70" s="30">
        <v>2500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2500</v>
      </c>
      <c r="M70" s="30">
        <v>258.52999999999997</v>
      </c>
      <c r="N70" s="30">
        <f t="shared" si="3"/>
        <v>2241.4700000000003</v>
      </c>
      <c r="O70" s="40">
        <f t="shared" si="7"/>
        <v>5.9473433861449048E-4</v>
      </c>
    </row>
    <row r="71" spans="1:15" ht="15.95" customHeight="1" x14ac:dyDescent="0.2">
      <c r="A71" s="43" t="s">
        <v>123</v>
      </c>
      <c r="B71" s="31" t="s">
        <v>61</v>
      </c>
      <c r="C71" s="30">
        <v>7000</v>
      </c>
      <c r="D71" s="30"/>
      <c r="E71" s="30"/>
      <c r="F71" s="46"/>
      <c r="G71" s="46"/>
      <c r="H71" s="30"/>
      <c r="I71" s="30"/>
      <c r="J71" s="46"/>
      <c r="K71" s="46"/>
      <c r="L71" s="30">
        <f t="shared" si="6"/>
        <v>7000</v>
      </c>
      <c r="M71" s="30">
        <v>264.08999999999997</v>
      </c>
      <c r="N71" s="30">
        <f t="shared" si="3"/>
        <v>6735.91</v>
      </c>
      <c r="O71" s="40">
        <f t="shared" si="7"/>
        <v>6.0752481911074453E-4</v>
      </c>
    </row>
    <row r="72" spans="1:15" ht="15.95" customHeight="1" x14ac:dyDescent="0.2">
      <c r="A72" s="43" t="s">
        <v>124</v>
      </c>
      <c r="B72" s="31" t="s">
        <v>184</v>
      </c>
      <c r="C72" s="30">
        <v>2000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2000</v>
      </c>
      <c r="M72" s="30">
        <v>0</v>
      </c>
      <c r="N72" s="30">
        <f t="shared" si="3"/>
        <v>2000</v>
      </c>
      <c r="O72" s="40">
        <f t="shared" si="7"/>
        <v>0</v>
      </c>
    </row>
    <row r="73" spans="1:15" ht="15.95" customHeight="1" x14ac:dyDescent="0.2">
      <c r="A73" s="43" t="s">
        <v>185</v>
      </c>
      <c r="B73" s="31" t="s">
        <v>157</v>
      </c>
      <c r="C73" s="30">
        <v>89500</v>
      </c>
      <c r="D73" s="30"/>
      <c r="E73" s="30"/>
      <c r="F73" s="46"/>
      <c r="G73" s="46"/>
      <c r="H73" s="30"/>
      <c r="I73" s="30"/>
      <c r="J73" s="46"/>
      <c r="K73" s="46"/>
      <c r="L73" s="30">
        <f t="shared" si="6"/>
        <v>89500</v>
      </c>
      <c r="M73" s="30">
        <v>0</v>
      </c>
      <c r="N73" s="30">
        <f t="shared" si="3"/>
        <v>89500</v>
      </c>
      <c r="O73" s="40">
        <f t="shared" si="7"/>
        <v>0</v>
      </c>
    </row>
    <row r="74" spans="1:15" ht="15.95" customHeight="1" x14ac:dyDescent="0.2">
      <c r="A74" s="43" t="s">
        <v>125</v>
      </c>
      <c r="B74" s="31" t="s">
        <v>186</v>
      </c>
      <c r="C74" s="30">
        <v>21000</v>
      </c>
      <c r="D74" s="30"/>
      <c r="E74" s="30"/>
      <c r="F74" s="46"/>
      <c r="G74" s="46"/>
      <c r="H74" s="30"/>
      <c r="I74" s="30"/>
      <c r="J74" s="46"/>
      <c r="K74" s="46"/>
      <c r="L74" s="30">
        <f t="shared" si="6"/>
        <v>21000</v>
      </c>
      <c r="M74" s="30">
        <v>6400</v>
      </c>
      <c r="N74" s="30">
        <f t="shared" si="3"/>
        <v>14600</v>
      </c>
      <c r="O74" s="40">
        <f t="shared" si="7"/>
        <v>1.4722855247486712E-2</v>
      </c>
    </row>
    <row r="75" spans="1:15" ht="15.95" customHeight="1" x14ac:dyDescent="0.2">
      <c r="A75" s="43"/>
      <c r="B75" s="31"/>
      <c r="C75" s="30"/>
      <c r="D75" s="30"/>
      <c r="E75" s="30"/>
      <c r="F75" s="46"/>
      <c r="G75" s="46"/>
      <c r="H75" s="30"/>
      <c r="I75" s="30"/>
      <c r="J75" s="46"/>
      <c r="K75" s="46"/>
      <c r="L75" s="30"/>
      <c r="M75" s="30"/>
      <c r="N75" s="30"/>
      <c r="O75" s="40"/>
    </row>
    <row r="76" spans="1:15" ht="15.95" customHeight="1" x14ac:dyDescent="0.2">
      <c r="A76" s="43"/>
      <c r="B76" s="31"/>
      <c r="C76" s="30"/>
      <c r="D76" s="30"/>
      <c r="E76" s="30"/>
      <c r="F76" s="46"/>
      <c r="G76" s="46"/>
      <c r="H76" s="30"/>
      <c r="I76" s="30"/>
      <c r="J76" s="46"/>
      <c r="K76" s="46"/>
      <c r="L76" s="30"/>
      <c r="M76" s="30"/>
      <c r="N76" s="30"/>
      <c r="O76" s="40"/>
    </row>
    <row r="77" spans="1:15" ht="15.95" customHeight="1" x14ac:dyDescent="0.25">
      <c r="A77" s="41">
        <v>2</v>
      </c>
      <c r="B77" s="42" t="s">
        <v>62</v>
      </c>
      <c r="C77" s="28"/>
      <c r="D77" s="30"/>
      <c r="E77" s="30"/>
      <c r="F77" s="46"/>
      <c r="G77" s="46"/>
      <c r="H77" s="30"/>
      <c r="I77" s="30"/>
      <c r="J77" s="46"/>
      <c r="K77" s="46"/>
      <c r="L77" s="30"/>
      <c r="M77" s="30"/>
      <c r="N77" s="30"/>
      <c r="O77" s="40"/>
    </row>
    <row r="78" spans="1:15" ht="15.95" customHeight="1" x14ac:dyDescent="0.2">
      <c r="A78" s="43" t="s">
        <v>126</v>
      </c>
      <c r="B78" s="31" t="s">
        <v>63</v>
      </c>
      <c r="C78" s="30">
        <v>114414.1</v>
      </c>
      <c r="D78" s="30"/>
      <c r="E78" s="30"/>
      <c r="F78" s="46"/>
      <c r="G78" s="46"/>
      <c r="H78" s="30"/>
      <c r="I78" s="30"/>
      <c r="J78" s="46"/>
      <c r="K78" s="46"/>
      <c r="L78" s="30">
        <f t="shared" ref="L78:L114" si="8">C78+D78-E78+F78-G78+H78-I78+J78-K78</f>
        <v>114414.1</v>
      </c>
      <c r="M78" s="30">
        <v>13710.8</v>
      </c>
      <c r="N78" s="30">
        <f t="shared" si="3"/>
        <v>100703.3</v>
      </c>
      <c r="O78" s="40">
        <f t="shared" ref="O78:O114" si="9">M78/$M$132</f>
        <v>3.1540956832381374E-2</v>
      </c>
    </row>
    <row r="79" spans="1:15" ht="15.95" hidden="1" customHeight="1" x14ac:dyDescent="0.2">
      <c r="A79" s="43">
        <v>214</v>
      </c>
      <c r="B79" s="31" t="s">
        <v>198</v>
      </c>
      <c r="C79" s="30"/>
      <c r="D79" s="30"/>
      <c r="E79" s="30"/>
      <c r="F79" s="46"/>
      <c r="G79" s="46"/>
      <c r="H79" s="30"/>
      <c r="I79" s="30"/>
      <c r="J79" s="46"/>
      <c r="K79" s="46"/>
      <c r="L79" s="30">
        <f t="shared" si="8"/>
        <v>0</v>
      </c>
      <c r="M79" s="30">
        <v>0</v>
      </c>
      <c r="N79" s="30">
        <f t="shared" si="3"/>
        <v>0</v>
      </c>
      <c r="O79" s="40">
        <f t="shared" si="9"/>
        <v>0</v>
      </c>
    </row>
    <row r="80" spans="1:15" ht="15.95" hidden="1" customHeight="1" x14ac:dyDescent="0.2">
      <c r="A80" s="43">
        <v>223</v>
      </c>
      <c r="B80" s="31" t="s">
        <v>199</v>
      </c>
      <c r="C80" s="30"/>
      <c r="D80" s="30"/>
      <c r="E80" s="30"/>
      <c r="F80" s="46"/>
      <c r="G80" s="46"/>
      <c r="H80" s="30"/>
      <c r="I80" s="30"/>
      <c r="J80" s="46"/>
      <c r="K80" s="46"/>
      <c r="L80" s="30">
        <f t="shared" si="8"/>
        <v>0</v>
      </c>
      <c r="M80" s="30">
        <v>0</v>
      </c>
      <c r="N80" s="30">
        <f t="shared" si="3"/>
        <v>0</v>
      </c>
      <c r="O80" s="40">
        <f t="shared" si="9"/>
        <v>0</v>
      </c>
    </row>
    <row r="81" spans="1:15" ht="15.95" hidden="1" customHeight="1" x14ac:dyDescent="0.2">
      <c r="A81" s="43">
        <v>229</v>
      </c>
      <c r="B81" s="31" t="s">
        <v>200</v>
      </c>
      <c r="C81" s="30"/>
      <c r="D81" s="30"/>
      <c r="E81" s="30"/>
      <c r="F81" s="46"/>
      <c r="G81" s="46"/>
      <c r="H81" s="30"/>
      <c r="I81" s="30"/>
      <c r="J81" s="46"/>
      <c r="K81" s="46"/>
      <c r="L81" s="30">
        <f t="shared" si="8"/>
        <v>0</v>
      </c>
      <c r="M81" s="30">
        <v>0</v>
      </c>
      <c r="N81" s="30">
        <f t="shared" si="3"/>
        <v>0</v>
      </c>
      <c r="O81" s="40">
        <f t="shared" si="9"/>
        <v>0</v>
      </c>
    </row>
    <row r="82" spans="1:15" ht="15.95" customHeight="1" x14ac:dyDescent="0.2">
      <c r="A82" s="43" t="s">
        <v>127</v>
      </c>
      <c r="B82" s="31" t="s">
        <v>64</v>
      </c>
      <c r="C82" s="30">
        <v>2750</v>
      </c>
      <c r="D82" s="30"/>
      <c r="E82" s="30"/>
      <c r="F82" s="46"/>
      <c r="G82" s="46"/>
      <c r="H82" s="30"/>
      <c r="I82" s="30"/>
      <c r="J82" s="46"/>
      <c r="K82" s="46"/>
      <c r="L82" s="30">
        <f t="shared" si="8"/>
        <v>2750</v>
      </c>
      <c r="M82" s="30">
        <v>180</v>
      </c>
      <c r="N82" s="30">
        <f t="shared" si="3"/>
        <v>2570</v>
      </c>
      <c r="O82" s="40">
        <f t="shared" si="9"/>
        <v>4.1408030383556374E-4</v>
      </c>
    </row>
    <row r="83" spans="1:15" ht="15.95" customHeight="1" x14ac:dyDescent="0.2">
      <c r="A83" s="43" t="s">
        <v>128</v>
      </c>
      <c r="B83" s="31" t="s">
        <v>65</v>
      </c>
      <c r="C83" s="30">
        <v>16800</v>
      </c>
      <c r="D83" s="30"/>
      <c r="E83" s="30"/>
      <c r="F83" s="46"/>
      <c r="G83" s="46"/>
      <c r="H83" s="30"/>
      <c r="I83" s="30"/>
      <c r="J83" s="46"/>
      <c r="K83" s="46"/>
      <c r="L83" s="30">
        <f t="shared" si="8"/>
        <v>16800</v>
      </c>
      <c r="M83" s="30">
        <v>0</v>
      </c>
      <c r="N83" s="30">
        <f t="shared" si="3"/>
        <v>16800</v>
      </c>
      <c r="O83" s="40">
        <f t="shared" si="9"/>
        <v>0</v>
      </c>
    </row>
    <row r="84" spans="1:15" ht="15.95" customHeight="1" x14ac:dyDescent="0.2">
      <c r="A84" s="43" t="s">
        <v>129</v>
      </c>
      <c r="B84" s="31" t="s">
        <v>66</v>
      </c>
      <c r="C84" s="30">
        <v>5250</v>
      </c>
      <c r="D84" s="30"/>
      <c r="E84" s="30"/>
      <c r="F84" s="46"/>
      <c r="G84" s="46"/>
      <c r="H84" s="30"/>
      <c r="I84" s="30"/>
      <c r="J84" s="46"/>
      <c r="K84" s="46"/>
      <c r="L84" s="30">
        <f t="shared" si="8"/>
        <v>5250</v>
      </c>
      <c r="M84" s="30">
        <v>343.5</v>
      </c>
      <c r="N84" s="30">
        <f t="shared" si="3"/>
        <v>4906.5</v>
      </c>
      <c r="O84" s="40">
        <f t="shared" si="9"/>
        <v>7.9020324648620087E-4</v>
      </c>
    </row>
    <row r="85" spans="1:15" ht="15.95" customHeight="1" x14ac:dyDescent="0.2">
      <c r="A85" s="43" t="s">
        <v>130</v>
      </c>
      <c r="B85" s="31" t="s">
        <v>67</v>
      </c>
      <c r="C85" s="30">
        <v>1500</v>
      </c>
      <c r="D85" s="30"/>
      <c r="E85" s="30"/>
      <c r="F85" s="46"/>
      <c r="G85" s="46"/>
      <c r="H85" s="30"/>
      <c r="I85" s="30"/>
      <c r="J85" s="46"/>
      <c r="K85" s="46"/>
      <c r="L85" s="30">
        <f t="shared" si="8"/>
        <v>1500</v>
      </c>
      <c r="M85" s="30">
        <v>611.25</v>
      </c>
      <c r="N85" s="30">
        <f t="shared" si="3"/>
        <v>888.75</v>
      </c>
      <c r="O85" s="40">
        <f t="shared" si="9"/>
        <v>1.406147698441602E-3</v>
      </c>
    </row>
    <row r="86" spans="1:15" ht="15.95" customHeight="1" x14ac:dyDescent="0.2">
      <c r="A86" s="43" t="s">
        <v>131</v>
      </c>
      <c r="B86" s="31" t="s">
        <v>201</v>
      </c>
      <c r="C86" s="30">
        <v>3050</v>
      </c>
      <c r="D86" s="30"/>
      <c r="E86" s="30"/>
      <c r="F86" s="46"/>
      <c r="G86" s="46"/>
      <c r="H86" s="30"/>
      <c r="I86" s="30"/>
      <c r="J86" s="46"/>
      <c r="K86" s="46"/>
      <c r="L86" s="30">
        <f t="shared" si="8"/>
        <v>3050</v>
      </c>
      <c r="M86" s="30">
        <v>722.5</v>
      </c>
      <c r="N86" s="30">
        <f t="shared" si="3"/>
        <v>2327.5</v>
      </c>
      <c r="O86" s="40">
        <f t="shared" si="9"/>
        <v>1.6620723306733046E-3</v>
      </c>
    </row>
    <row r="87" spans="1:15" ht="15.95" customHeight="1" x14ac:dyDescent="0.2">
      <c r="A87" s="43" t="s">
        <v>132</v>
      </c>
      <c r="B87" s="31" t="s">
        <v>68</v>
      </c>
      <c r="C87" s="30">
        <v>875</v>
      </c>
      <c r="D87" s="30"/>
      <c r="E87" s="30"/>
      <c r="F87" s="46"/>
      <c r="G87" s="46"/>
      <c r="H87" s="30"/>
      <c r="I87" s="30"/>
      <c r="J87" s="46"/>
      <c r="K87" s="46"/>
      <c r="L87" s="30">
        <f t="shared" si="8"/>
        <v>875</v>
      </c>
      <c r="M87" s="30">
        <v>5</v>
      </c>
      <c r="N87" s="30">
        <f t="shared" si="3"/>
        <v>870</v>
      </c>
      <c r="O87" s="40">
        <f t="shared" si="9"/>
        <v>1.1502230662098994E-5</v>
      </c>
    </row>
    <row r="88" spans="1:15" ht="15.95" customHeight="1" x14ac:dyDescent="0.2">
      <c r="A88" s="43" t="s">
        <v>133</v>
      </c>
      <c r="B88" s="31" t="s">
        <v>202</v>
      </c>
      <c r="C88" s="30">
        <v>5500</v>
      </c>
      <c r="D88" s="30"/>
      <c r="E88" s="30"/>
      <c r="F88" s="46"/>
      <c r="G88" s="46"/>
      <c r="H88" s="30"/>
      <c r="I88" s="30"/>
      <c r="J88" s="46"/>
      <c r="K88" s="46"/>
      <c r="L88" s="30">
        <f t="shared" si="8"/>
        <v>5500</v>
      </c>
      <c r="M88" s="30">
        <v>0</v>
      </c>
      <c r="N88" s="30">
        <f t="shared" si="3"/>
        <v>5500</v>
      </c>
      <c r="O88" s="40">
        <f t="shared" si="9"/>
        <v>0</v>
      </c>
    </row>
    <row r="89" spans="1:15" ht="15.95" customHeight="1" x14ac:dyDescent="0.2">
      <c r="A89" s="43" t="s">
        <v>134</v>
      </c>
      <c r="B89" s="31" t="s">
        <v>69</v>
      </c>
      <c r="C89" s="30">
        <v>2700</v>
      </c>
      <c r="D89" s="30"/>
      <c r="E89" s="30"/>
      <c r="F89" s="46"/>
      <c r="G89" s="46"/>
      <c r="H89" s="30"/>
      <c r="I89" s="30"/>
      <c r="J89" s="46"/>
      <c r="K89" s="46"/>
      <c r="L89" s="30">
        <f t="shared" si="8"/>
        <v>2700</v>
      </c>
      <c r="M89" s="30">
        <v>290</v>
      </c>
      <c r="N89" s="30">
        <f t="shared" si="3"/>
        <v>2410</v>
      </c>
      <c r="O89" s="40">
        <f t="shared" si="9"/>
        <v>6.6712937840174161E-4</v>
      </c>
    </row>
    <row r="90" spans="1:15" ht="15.95" customHeight="1" x14ac:dyDescent="0.2">
      <c r="A90" s="43" t="s">
        <v>203</v>
      </c>
      <c r="B90" s="31" t="s">
        <v>204</v>
      </c>
      <c r="C90" s="30">
        <v>2800</v>
      </c>
      <c r="D90" s="30"/>
      <c r="E90" s="30"/>
      <c r="F90" s="46"/>
      <c r="G90" s="46"/>
      <c r="H90" s="30"/>
      <c r="I90" s="30"/>
      <c r="J90" s="46"/>
      <c r="K90" s="46"/>
      <c r="L90" s="30">
        <f t="shared" si="8"/>
        <v>2800</v>
      </c>
      <c r="M90" s="30">
        <v>138</v>
      </c>
      <c r="N90" s="30">
        <f t="shared" si="3"/>
        <v>2662</v>
      </c>
      <c r="O90" s="40">
        <f t="shared" si="9"/>
        <v>3.1746156627393221E-4</v>
      </c>
    </row>
    <row r="91" spans="1:15" ht="15.95" customHeight="1" x14ac:dyDescent="0.2">
      <c r="A91" s="43" t="s">
        <v>135</v>
      </c>
      <c r="B91" s="31" t="s">
        <v>70</v>
      </c>
      <c r="C91" s="30">
        <v>8500</v>
      </c>
      <c r="D91" s="30"/>
      <c r="E91" s="30"/>
      <c r="F91" s="46"/>
      <c r="G91" s="46"/>
      <c r="H91" s="30"/>
      <c r="I91" s="30"/>
      <c r="J91" s="46"/>
      <c r="K91" s="46"/>
      <c r="L91" s="30">
        <f t="shared" si="8"/>
        <v>8500</v>
      </c>
      <c r="M91" s="30">
        <v>1299.03</v>
      </c>
      <c r="N91" s="30">
        <f t="shared" si="3"/>
        <v>7200.97</v>
      </c>
      <c r="O91" s="40">
        <f t="shared" si="9"/>
        <v>2.9883485393972912E-3</v>
      </c>
    </row>
    <row r="92" spans="1:15" ht="15.95" customHeight="1" x14ac:dyDescent="0.2">
      <c r="A92" s="43" t="s">
        <v>136</v>
      </c>
      <c r="B92" s="31" t="s">
        <v>205</v>
      </c>
      <c r="C92" s="30">
        <v>2000</v>
      </c>
      <c r="D92" s="30"/>
      <c r="E92" s="30"/>
      <c r="F92" s="46"/>
      <c r="G92" s="46"/>
      <c r="H92" s="30"/>
      <c r="I92" s="30"/>
      <c r="J92" s="46"/>
      <c r="K92" s="46"/>
      <c r="L92" s="30">
        <f t="shared" si="8"/>
        <v>2000</v>
      </c>
      <c r="M92" s="30">
        <v>924.11</v>
      </c>
      <c r="N92" s="30">
        <f t="shared" si="3"/>
        <v>1075.8899999999999</v>
      </c>
      <c r="O92" s="40">
        <f t="shared" si="9"/>
        <v>2.1258652754304603E-3</v>
      </c>
    </row>
    <row r="93" spans="1:15" ht="15.95" customHeight="1" x14ac:dyDescent="0.2">
      <c r="A93" s="43" t="s">
        <v>137</v>
      </c>
      <c r="B93" s="31" t="s">
        <v>71</v>
      </c>
      <c r="C93" s="30">
        <v>17500</v>
      </c>
      <c r="D93" s="30"/>
      <c r="E93" s="30"/>
      <c r="F93" s="46"/>
      <c r="G93" s="46"/>
      <c r="H93" s="30"/>
      <c r="I93" s="30"/>
      <c r="J93" s="46"/>
      <c r="K93" s="46"/>
      <c r="L93" s="30">
        <f t="shared" si="8"/>
        <v>17500</v>
      </c>
      <c r="M93" s="30">
        <v>1806.25</v>
      </c>
      <c r="N93" s="30">
        <f t="shared" si="3"/>
        <v>15693.75</v>
      </c>
      <c r="O93" s="40">
        <f t="shared" si="9"/>
        <v>4.1551808266832614E-3</v>
      </c>
    </row>
    <row r="94" spans="1:15" ht="15.95" customHeight="1" x14ac:dyDescent="0.2">
      <c r="A94" s="43" t="s">
        <v>138</v>
      </c>
      <c r="B94" s="31" t="s">
        <v>206</v>
      </c>
      <c r="C94" s="30">
        <v>3000</v>
      </c>
      <c r="D94" s="30"/>
      <c r="E94" s="30"/>
      <c r="F94" s="46"/>
      <c r="G94" s="46"/>
      <c r="H94" s="30"/>
      <c r="I94" s="30"/>
      <c r="J94" s="46"/>
      <c r="K94" s="46"/>
      <c r="L94" s="30">
        <f t="shared" si="8"/>
        <v>3000</v>
      </c>
      <c r="M94" s="30">
        <v>182.35</v>
      </c>
      <c r="N94" s="30">
        <f t="shared" si="3"/>
        <v>2817.65</v>
      </c>
      <c r="O94" s="40">
        <f t="shared" si="9"/>
        <v>4.1948635224675027E-4</v>
      </c>
    </row>
    <row r="95" spans="1:15" ht="15.95" customHeight="1" x14ac:dyDescent="0.2">
      <c r="A95" s="43" t="s">
        <v>139</v>
      </c>
      <c r="B95" s="31" t="s">
        <v>207</v>
      </c>
      <c r="C95" s="30">
        <v>1500</v>
      </c>
      <c r="D95" s="30"/>
      <c r="E95" s="30"/>
      <c r="F95" s="46"/>
      <c r="G95" s="46"/>
      <c r="H95" s="30"/>
      <c r="I95" s="30"/>
      <c r="J95" s="46"/>
      <c r="K95" s="46"/>
      <c r="L95" s="30">
        <f t="shared" si="8"/>
        <v>1500</v>
      </c>
      <c r="M95" s="30">
        <v>0</v>
      </c>
      <c r="N95" s="30">
        <f t="shared" ref="N95:N131" si="10">L95-M95</f>
        <v>1500</v>
      </c>
      <c r="O95" s="40">
        <f t="shared" si="9"/>
        <v>0</v>
      </c>
    </row>
    <row r="96" spans="1:15" ht="15.95" customHeight="1" x14ac:dyDescent="0.2">
      <c r="A96" s="43" t="s">
        <v>140</v>
      </c>
      <c r="B96" s="31" t="s">
        <v>72</v>
      </c>
      <c r="C96" s="30">
        <v>210345</v>
      </c>
      <c r="D96" s="30"/>
      <c r="E96" s="30"/>
      <c r="F96" s="46"/>
      <c r="G96" s="46"/>
      <c r="H96" s="30"/>
      <c r="I96" s="30"/>
      <c r="J96" s="46"/>
      <c r="K96" s="46"/>
      <c r="L96" s="30">
        <f t="shared" si="8"/>
        <v>210345</v>
      </c>
      <c r="M96" s="30">
        <v>0</v>
      </c>
      <c r="N96" s="30">
        <f t="shared" si="10"/>
        <v>210345</v>
      </c>
      <c r="O96" s="40">
        <f t="shared" si="9"/>
        <v>0</v>
      </c>
    </row>
    <row r="97" spans="1:15" ht="15.95" hidden="1" customHeight="1" x14ac:dyDescent="0.2">
      <c r="A97" s="43">
        <v>272</v>
      </c>
      <c r="B97" s="31" t="s">
        <v>208</v>
      </c>
      <c r="C97" s="30"/>
      <c r="D97" s="30"/>
      <c r="E97" s="30"/>
      <c r="F97" s="46"/>
      <c r="G97" s="46"/>
      <c r="H97" s="30"/>
      <c r="I97" s="30"/>
      <c r="J97" s="46"/>
      <c r="K97" s="46"/>
      <c r="L97" s="30">
        <f t="shared" si="8"/>
        <v>0</v>
      </c>
      <c r="M97" s="30">
        <v>0</v>
      </c>
      <c r="N97" s="30">
        <f t="shared" si="10"/>
        <v>0</v>
      </c>
      <c r="O97" s="40">
        <f t="shared" si="9"/>
        <v>0</v>
      </c>
    </row>
    <row r="98" spans="1:15" ht="15.95" hidden="1" customHeight="1" x14ac:dyDescent="0.2">
      <c r="A98" s="43" t="s">
        <v>141</v>
      </c>
      <c r="B98" s="31" t="s">
        <v>209</v>
      </c>
      <c r="C98" s="30"/>
      <c r="D98" s="30"/>
      <c r="E98" s="30"/>
      <c r="F98" s="46"/>
      <c r="G98" s="46"/>
      <c r="H98" s="30"/>
      <c r="I98" s="30"/>
      <c r="J98" s="46"/>
      <c r="K98" s="46"/>
      <c r="L98" s="30">
        <f t="shared" si="8"/>
        <v>0</v>
      </c>
      <c r="M98" s="30">
        <v>0</v>
      </c>
      <c r="N98" s="30">
        <f t="shared" si="10"/>
        <v>0</v>
      </c>
      <c r="O98" s="40">
        <f t="shared" si="9"/>
        <v>0</v>
      </c>
    </row>
    <row r="99" spans="1:15" ht="15.95" customHeight="1" x14ac:dyDescent="0.2">
      <c r="A99" s="43">
        <v>274</v>
      </c>
      <c r="B99" s="31" t="s">
        <v>73</v>
      </c>
      <c r="C99" s="30">
        <v>1500</v>
      </c>
      <c r="D99" s="30"/>
      <c r="E99" s="30"/>
      <c r="F99" s="46"/>
      <c r="G99" s="46"/>
      <c r="H99" s="30"/>
      <c r="I99" s="30"/>
      <c r="J99" s="46"/>
      <c r="K99" s="46"/>
      <c r="L99" s="30">
        <f t="shared" si="8"/>
        <v>1500</v>
      </c>
      <c r="M99" s="30">
        <v>0</v>
      </c>
      <c r="N99" s="30">
        <f t="shared" si="10"/>
        <v>1500</v>
      </c>
      <c r="O99" s="40">
        <f t="shared" si="9"/>
        <v>0</v>
      </c>
    </row>
    <row r="100" spans="1:15" ht="15.95" hidden="1" customHeight="1" x14ac:dyDescent="0.2">
      <c r="A100" s="43">
        <v>275</v>
      </c>
      <c r="B100" s="31" t="s">
        <v>210</v>
      </c>
      <c r="C100" s="30"/>
      <c r="D100" s="30"/>
      <c r="E100" s="30"/>
      <c r="F100" s="46"/>
      <c r="G100" s="46"/>
      <c r="H100" s="30"/>
      <c r="I100" s="30"/>
      <c r="J100" s="46"/>
      <c r="K100" s="46"/>
      <c r="L100" s="30">
        <f t="shared" si="8"/>
        <v>0</v>
      </c>
      <c r="M100" s="30">
        <v>0</v>
      </c>
      <c r="N100" s="30">
        <f t="shared" si="10"/>
        <v>0</v>
      </c>
      <c r="O100" s="40">
        <f t="shared" si="9"/>
        <v>0</v>
      </c>
    </row>
    <row r="101" spans="1:15" ht="15.95" customHeight="1" x14ac:dyDescent="0.2">
      <c r="A101" s="43">
        <v>279</v>
      </c>
      <c r="B101" s="31" t="s">
        <v>211</v>
      </c>
      <c r="C101" s="30">
        <v>750</v>
      </c>
      <c r="D101" s="30"/>
      <c r="E101" s="30"/>
      <c r="F101" s="46"/>
      <c r="G101" s="46"/>
      <c r="H101" s="30"/>
      <c r="I101" s="30"/>
      <c r="J101" s="46"/>
      <c r="K101" s="46"/>
      <c r="L101" s="30">
        <f t="shared" si="8"/>
        <v>750</v>
      </c>
      <c r="M101" s="30">
        <v>0</v>
      </c>
      <c r="N101" s="30">
        <f t="shared" si="10"/>
        <v>750</v>
      </c>
      <c r="O101" s="40">
        <f t="shared" si="9"/>
        <v>0</v>
      </c>
    </row>
    <row r="102" spans="1:15" ht="15.95" hidden="1" customHeight="1" x14ac:dyDescent="0.2">
      <c r="A102" s="43">
        <v>281</v>
      </c>
      <c r="B102" s="31" t="s">
        <v>212</v>
      </c>
      <c r="C102" s="30"/>
      <c r="D102" s="30"/>
      <c r="E102" s="30"/>
      <c r="F102" s="46"/>
      <c r="G102" s="46"/>
      <c r="H102" s="30"/>
      <c r="I102" s="30"/>
      <c r="J102" s="46"/>
      <c r="K102" s="46"/>
      <c r="L102" s="30">
        <f t="shared" si="8"/>
        <v>0</v>
      </c>
      <c r="M102" s="30">
        <v>0</v>
      </c>
      <c r="N102" s="30">
        <f t="shared" si="10"/>
        <v>0</v>
      </c>
      <c r="O102" s="40">
        <f t="shared" si="9"/>
        <v>0</v>
      </c>
    </row>
    <row r="103" spans="1:15" ht="15.95" customHeight="1" x14ac:dyDescent="0.2">
      <c r="A103" s="43" t="s">
        <v>142</v>
      </c>
      <c r="B103" s="31" t="s">
        <v>213</v>
      </c>
      <c r="C103" s="30">
        <v>1800</v>
      </c>
      <c r="D103" s="30"/>
      <c r="E103" s="30"/>
      <c r="F103" s="46"/>
      <c r="G103" s="46"/>
      <c r="H103" s="30"/>
      <c r="I103" s="30"/>
      <c r="J103" s="46"/>
      <c r="K103" s="46"/>
      <c r="L103" s="30">
        <f t="shared" si="8"/>
        <v>1800</v>
      </c>
      <c r="M103" s="30">
        <v>145.4</v>
      </c>
      <c r="N103" s="30">
        <f t="shared" si="10"/>
        <v>1654.6</v>
      </c>
      <c r="O103" s="40">
        <f t="shared" si="9"/>
        <v>3.3448486765383871E-4</v>
      </c>
    </row>
    <row r="104" spans="1:15" ht="15.95" customHeight="1" x14ac:dyDescent="0.2">
      <c r="A104" s="43" t="s">
        <v>143</v>
      </c>
      <c r="B104" s="31" t="s">
        <v>74</v>
      </c>
      <c r="C104" s="30">
        <v>8800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8"/>
        <v>8800</v>
      </c>
      <c r="M104" s="30">
        <v>0</v>
      </c>
      <c r="N104" s="30">
        <f t="shared" si="10"/>
        <v>8800</v>
      </c>
      <c r="O104" s="40">
        <f t="shared" si="9"/>
        <v>0</v>
      </c>
    </row>
    <row r="105" spans="1:15" ht="15.95" customHeight="1" x14ac:dyDescent="0.2">
      <c r="A105" s="43" t="s">
        <v>144</v>
      </c>
      <c r="B105" s="31" t="s">
        <v>75</v>
      </c>
      <c r="C105" s="30">
        <v>800821.67999999993</v>
      </c>
      <c r="D105" s="30"/>
      <c r="E105" s="30"/>
      <c r="F105" s="46"/>
      <c r="G105" s="46"/>
      <c r="H105" s="30"/>
      <c r="I105" s="30"/>
      <c r="J105" s="46"/>
      <c r="K105" s="46"/>
      <c r="L105" s="30">
        <f t="shared" si="8"/>
        <v>800821.67999999993</v>
      </c>
      <c r="M105" s="30">
        <v>0</v>
      </c>
      <c r="N105" s="30">
        <f t="shared" si="10"/>
        <v>800821.67999999993</v>
      </c>
      <c r="O105" s="40">
        <f t="shared" si="9"/>
        <v>0</v>
      </c>
    </row>
    <row r="106" spans="1:15" ht="15.95" customHeight="1" x14ac:dyDescent="0.2">
      <c r="A106" s="43">
        <v>286</v>
      </c>
      <c r="B106" s="31" t="s">
        <v>214</v>
      </c>
      <c r="C106" s="30">
        <v>1500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8"/>
        <v>1500</v>
      </c>
      <c r="M106" s="30">
        <v>0</v>
      </c>
      <c r="N106" s="30">
        <f t="shared" si="10"/>
        <v>1500</v>
      </c>
      <c r="O106" s="40">
        <f t="shared" si="9"/>
        <v>0</v>
      </c>
    </row>
    <row r="107" spans="1:15" ht="15.95" hidden="1" customHeight="1" x14ac:dyDescent="0.2">
      <c r="A107" s="43">
        <v>289</v>
      </c>
      <c r="B107" s="31" t="s">
        <v>215</v>
      </c>
      <c r="C107" s="30"/>
      <c r="D107" s="30"/>
      <c r="E107" s="30"/>
      <c r="F107" s="46"/>
      <c r="G107" s="46"/>
      <c r="H107" s="30"/>
      <c r="I107" s="30"/>
      <c r="J107" s="46"/>
      <c r="K107" s="46"/>
      <c r="L107" s="30">
        <f t="shared" si="8"/>
        <v>0</v>
      </c>
      <c r="M107" s="30">
        <v>0</v>
      </c>
      <c r="N107" s="30">
        <f t="shared" si="10"/>
        <v>0</v>
      </c>
      <c r="O107" s="40">
        <f t="shared" si="9"/>
        <v>0</v>
      </c>
    </row>
    <row r="108" spans="1:15" ht="15.95" customHeight="1" x14ac:dyDescent="0.2">
      <c r="A108" s="43" t="s">
        <v>145</v>
      </c>
      <c r="B108" s="31" t="s">
        <v>76</v>
      </c>
      <c r="C108" s="30">
        <v>6600</v>
      </c>
      <c r="D108" s="30"/>
      <c r="E108" s="30"/>
      <c r="F108" s="46"/>
      <c r="G108" s="46"/>
      <c r="H108" s="30"/>
      <c r="I108" s="30"/>
      <c r="J108" s="46"/>
      <c r="K108" s="46"/>
      <c r="L108" s="30">
        <f t="shared" si="8"/>
        <v>6600</v>
      </c>
      <c r="M108" s="30">
        <v>1039.3800000000001</v>
      </c>
      <c r="N108" s="30">
        <f t="shared" si="10"/>
        <v>5560.62</v>
      </c>
      <c r="O108" s="40">
        <f t="shared" si="9"/>
        <v>2.3910377011144906E-3</v>
      </c>
    </row>
    <row r="109" spans="1:15" ht="15.95" customHeight="1" x14ac:dyDescent="0.2">
      <c r="A109" s="43" t="s">
        <v>146</v>
      </c>
      <c r="B109" s="31" t="s">
        <v>216</v>
      </c>
      <c r="C109" s="30">
        <v>2000</v>
      </c>
      <c r="D109" s="30"/>
      <c r="E109" s="30"/>
      <c r="F109" s="46"/>
      <c r="G109" s="46"/>
      <c r="H109" s="30"/>
      <c r="I109" s="30"/>
      <c r="J109" s="46"/>
      <c r="K109" s="46"/>
      <c r="L109" s="30">
        <f t="shared" si="8"/>
        <v>2000</v>
      </c>
      <c r="M109" s="30">
        <v>53.8</v>
      </c>
      <c r="N109" s="30">
        <f t="shared" si="10"/>
        <v>1946.2</v>
      </c>
      <c r="O109" s="40">
        <f t="shared" si="9"/>
        <v>1.2376400192418515E-4</v>
      </c>
    </row>
    <row r="110" spans="1:15" ht="15.95" customHeight="1" x14ac:dyDescent="0.2">
      <c r="A110" s="43" t="s">
        <v>147</v>
      </c>
      <c r="B110" s="31" t="s">
        <v>77</v>
      </c>
      <c r="C110" s="30">
        <v>115251.9</v>
      </c>
      <c r="D110" s="30"/>
      <c r="E110" s="30"/>
      <c r="F110" s="46"/>
      <c r="G110" s="46"/>
      <c r="H110" s="30"/>
      <c r="I110" s="30"/>
      <c r="J110" s="46"/>
      <c r="K110" s="46"/>
      <c r="L110" s="30">
        <f t="shared" si="8"/>
        <v>115251.9</v>
      </c>
      <c r="M110" s="30">
        <v>75.989999999999995</v>
      </c>
      <c r="N110" s="30">
        <f t="shared" si="10"/>
        <v>115175.90999999999</v>
      </c>
      <c r="O110" s="40">
        <f t="shared" si="9"/>
        <v>1.7481090160258048E-4</v>
      </c>
    </row>
    <row r="111" spans="1:15" ht="15.95" customHeight="1" x14ac:dyDescent="0.2">
      <c r="A111" s="43" t="s">
        <v>148</v>
      </c>
      <c r="B111" s="31" t="s">
        <v>78</v>
      </c>
      <c r="C111" s="30">
        <v>2000</v>
      </c>
      <c r="D111" s="30"/>
      <c r="E111" s="30"/>
      <c r="F111" s="46"/>
      <c r="G111" s="46"/>
      <c r="H111" s="30"/>
      <c r="I111" s="30"/>
      <c r="J111" s="46"/>
      <c r="K111" s="46"/>
      <c r="L111" s="30">
        <f t="shared" si="8"/>
        <v>2000</v>
      </c>
      <c r="M111" s="30">
        <v>0</v>
      </c>
      <c r="N111" s="30">
        <f t="shared" si="10"/>
        <v>2000</v>
      </c>
      <c r="O111" s="40">
        <f t="shared" si="9"/>
        <v>0</v>
      </c>
    </row>
    <row r="112" spans="1:15" ht="15.95" customHeight="1" x14ac:dyDescent="0.2">
      <c r="A112" s="43" t="s">
        <v>149</v>
      </c>
      <c r="B112" s="31" t="s">
        <v>217</v>
      </c>
      <c r="C112" s="30">
        <v>9500</v>
      </c>
      <c r="D112" s="30"/>
      <c r="E112" s="30"/>
      <c r="F112" s="46"/>
      <c r="G112" s="46"/>
      <c r="H112" s="30"/>
      <c r="I112" s="30"/>
      <c r="J112" s="46"/>
      <c r="K112" s="46"/>
      <c r="L112" s="30">
        <f t="shared" si="8"/>
        <v>9500</v>
      </c>
      <c r="M112" s="30">
        <v>0</v>
      </c>
      <c r="N112" s="30">
        <f t="shared" si="10"/>
        <v>9500</v>
      </c>
      <c r="O112" s="40">
        <f t="shared" si="9"/>
        <v>0</v>
      </c>
    </row>
    <row r="113" spans="1:15" ht="15.95" customHeight="1" x14ac:dyDescent="0.2">
      <c r="A113" s="43" t="s">
        <v>150</v>
      </c>
      <c r="B113" s="31" t="s">
        <v>79</v>
      </c>
      <c r="C113" s="30">
        <v>101000</v>
      </c>
      <c r="D113" s="30"/>
      <c r="E113" s="30"/>
      <c r="F113" s="46"/>
      <c r="G113" s="46"/>
      <c r="H113" s="30"/>
      <c r="I113" s="30"/>
      <c r="J113" s="46"/>
      <c r="K113" s="46"/>
      <c r="L113" s="30">
        <f t="shared" si="8"/>
        <v>101000</v>
      </c>
      <c r="M113" s="30">
        <v>1898.6399999999999</v>
      </c>
      <c r="N113" s="30">
        <f t="shared" si="10"/>
        <v>99101.36</v>
      </c>
      <c r="O113" s="40">
        <f t="shared" si="9"/>
        <v>4.3677190448575265E-3</v>
      </c>
    </row>
    <row r="114" spans="1:15" ht="15.95" customHeight="1" x14ac:dyDescent="0.2">
      <c r="A114" s="43" t="s">
        <v>151</v>
      </c>
      <c r="B114" s="31" t="s">
        <v>80</v>
      </c>
      <c r="C114" s="30">
        <v>11500</v>
      </c>
      <c r="D114" s="30"/>
      <c r="E114" s="30"/>
      <c r="F114" s="46"/>
      <c r="G114" s="46"/>
      <c r="H114" s="30"/>
      <c r="I114" s="30"/>
      <c r="J114" s="46"/>
      <c r="K114" s="46"/>
      <c r="L114" s="30">
        <f t="shared" si="8"/>
        <v>11500</v>
      </c>
      <c r="M114" s="30">
        <v>1282.3499999999999</v>
      </c>
      <c r="N114" s="30">
        <f t="shared" si="10"/>
        <v>10217.65</v>
      </c>
      <c r="O114" s="40">
        <f t="shared" si="9"/>
        <v>2.9499770979085288E-3</v>
      </c>
    </row>
    <row r="115" spans="1:15" ht="15.95" customHeight="1" x14ac:dyDescent="0.2">
      <c r="A115" s="43"/>
      <c r="B115" s="31"/>
      <c r="C115" s="30"/>
      <c r="D115" s="30"/>
      <c r="E115" s="30"/>
      <c r="F115" s="46"/>
      <c r="G115" s="46"/>
      <c r="H115" s="30"/>
      <c r="I115" s="30"/>
      <c r="J115" s="46"/>
      <c r="K115" s="46"/>
      <c r="L115" s="30"/>
      <c r="M115" s="30"/>
      <c r="N115" s="30"/>
      <c r="O115" s="40"/>
    </row>
    <row r="116" spans="1:15" ht="15.95" customHeight="1" x14ac:dyDescent="0.2">
      <c r="A116" s="43"/>
      <c r="B116" s="31"/>
      <c r="C116" s="30"/>
      <c r="D116" s="30"/>
      <c r="E116" s="30"/>
      <c r="F116" s="46"/>
      <c r="G116" s="46"/>
      <c r="H116" s="30"/>
      <c r="I116" s="30"/>
      <c r="J116" s="46"/>
      <c r="K116" s="46"/>
      <c r="L116" s="30"/>
      <c r="M116" s="30"/>
      <c r="N116" s="30"/>
      <c r="O116" s="40"/>
    </row>
    <row r="117" spans="1:15" ht="15.95" customHeight="1" x14ac:dyDescent="0.2">
      <c r="A117" s="43"/>
      <c r="B117" s="31"/>
      <c r="C117" s="30"/>
      <c r="D117" s="30"/>
      <c r="E117" s="30"/>
      <c r="F117" s="46"/>
      <c r="G117" s="46"/>
      <c r="H117" s="30"/>
      <c r="I117" s="30"/>
      <c r="J117" s="46"/>
      <c r="K117" s="46"/>
      <c r="L117" s="30"/>
      <c r="M117" s="30"/>
      <c r="N117" s="30"/>
      <c r="O117" s="40"/>
    </row>
    <row r="118" spans="1:15" ht="15.95" customHeight="1" x14ac:dyDescent="0.25">
      <c r="A118" s="41">
        <v>3</v>
      </c>
      <c r="B118" s="42" t="s">
        <v>81</v>
      </c>
      <c r="C118" s="28"/>
      <c r="D118" s="30"/>
      <c r="E118" s="30"/>
      <c r="F118" s="46"/>
      <c r="G118" s="46"/>
      <c r="H118" s="30"/>
      <c r="I118" s="30"/>
      <c r="J118" s="46"/>
      <c r="K118" s="46"/>
      <c r="L118" s="30"/>
      <c r="M118" s="30"/>
      <c r="N118" s="30"/>
      <c r="O118" s="40"/>
    </row>
    <row r="119" spans="1:15" ht="15.95" customHeight="1" x14ac:dyDescent="0.2">
      <c r="A119" s="44" t="s">
        <v>218</v>
      </c>
      <c r="B119" s="45" t="s">
        <v>219</v>
      </c>
      <c r="C119" s="46">
        <v>10000</v>
      </c>
      <c r="D119" s="30"/>
      <c r="E119" s="30"/>
      <c r="F119" s="46"/>
      <c r="G119" s="46"/>
      <c r="H119" s="30"/>
      <c r="I119" s="30"/>
      <c r="J119" s="46"/>
      <c r="K119" s="46"/>
      <c r="L119" s="30">
        <f t="shared" ref="L119:L131" si="11">C119+D119-E119+F119-G119+J119-K119</f>
        <v>10000</v>
      </c>
      <c r="M119" s="30">
        <v>1299</v>
      </c>
      <c r="N119" s="30">
        <f t="shared" si="10"/>
        <v>8701</v>
      </c>
      <c r="O119" s="40">
        <f t="shared" ref="O119:O124" si="12">M119/$M$132</f>
        <v>2.9882795260133183E-3</v>
      </c>
    </row>
    <row r="120" spans="1:15" ht="15.95" hidden="1" customHeight="1" x14ac:dyDescent="0.2">
      <c r="A120" s="44" t="s">
        <v>82</v>
      </c>
      <c r="B120" s="45" t="s">
        <v>220</v>
      </c>
      <c r="C120" s="46">
        <v>0</v>
      </c>
      <c r="D120" s="30"/>
      <c r="E120" s="30"/>
      <c r="F120" s="46"/>
      <c r="G120" s="46"/>
      <c r="H120" s="30"/>
      <c r="I120" s="30"/>
      <c r="J120" s="46"/>
      <c r="K120" s="46"/>
      <c r="L120" s="30">
        <f t="shared" si="11"/>
        <v>0</v>
      </c>
      <c r="M120" s="30">
        <v>0</v>
      </c>
      <c r="N120" s="30">
        <f t="shared" si="10"/>
        <v>0</v>
      </c>
      <c r="O120" s="40">
        <f t="shared" si="12"/>
        <v>0</v>
      </c>
    </row>
    <row r="121" spans="1:15" ht="15.95" customHeight="1" x14ac:dyDescent="0.2">
      <c r="A121" s="44" t="s">
        <v>221</v>
      </c>
      <c r="B121" s="45" t="s">
        <v>222</v>
      </c>
      <c r="C121" s="46">
        <v>54035</v>
      </c>
      <c r="D121" s="30"/>
      <c r="E121" s="30"/>
      <c r="F121" s="46"/>
      <c r="G121" s="46"/>
      <c r="H121" s="30"/>
      <c r="I121" s="30"/>
      <c r="J121" s="46"/>
      <c r="K121" s="46"/>
      <c r="L121" s="30">
        <f t="shared" si="11"/>
        <v>54035</v>
      </c>
      <c r="M121" s="30">
        <v>0</v>
      </c>
      <c r="N121" s="30">
        <f t="shared" si="10"/>
        <v>54035</v>
      </c>
      <c r="O121" s="40">
        <f t="shared" si="12"/>
        <v>0</v>
      </c>
    </row>
    <row r="122" spans="1:15" ht="15.95" customHeight="1" x14ac:dyDescent="0.2">
      <c r="A122" s="44" t="s">
        <v>223</v>
      </c>
      <c r="B122" s="45" t="s">
        <v>224</v>
      </c>
      <c r="C122" s="46">
        <v>1500</v>
      </c>
      <c r="D122" s="30"/>
      <c r="E122" s="30"/>
      <c r="F122" s="46"/>
      <c r="G122" s="46"/>
      <c r="H122" s="30"/>
      <c r="I122" s="30"/>
      <c r="J122" s="46"/>
      <c r="K122" s="46"/>
      <c r="L122" s="30">
        <f t="shared" si="11"/>
        <v>1500</v>
      </c>
      <c r="M122" s="30">
        <v>0</v>
      </c>
      <c r="N122" s="30">
        <f t="shared" si="10"/>
        <v>1500</v>
      </c>
      <c r="O122" s="40">
        <f t="shared" si="12"/>
        <v>0</v>
      </c>
    </row>
    <row r="123" spans="1:15" ht="15.95" customHeight="1" x14ac:dyDescent="0.2">
      <c r="A123" s="44" t="s">
        <v>225</v>
      </c>
      <c r="B123" s="45" t="s">
        <v>226</v>
      </c>
      <c r="C123" s="46">
        <v>14300</v>
      </c>
      <c r="D123" s="30"/>
      <c r="E123" s="30"/>
      <c r="F123" s="46"/>
      <c r="G123" s="46"/>
      <c r="H123" s="30"/>
      <c r="I123" s="30"/>
      <c r="J123" s="46"/>
      <c r="K123" s="46"/>
      <c r="L123" s="30">
        <f t="shared" si="11"/>
        <v>14300</v>
      </c>
      <c r="M123" s="30">
        <v>3950</v>
      </c>
      <c r="N123" s="30">
        <f t="shared" si="10"/>
        <v>10350</v>
      </c>
      <c r="O123" s="40">
        <f t="shared" si="12"/>
        <v>9.0867622230582056E-3</v>
      </c>
    </row>
    <row r="124" spans="1:15" ht="15.95" hidden="1" customHeight="1" x14ac:dyDescent="0.2">
      <c r="A124" s="44" t="s">
        <v>227</v>
      </c>
      <c r="B124" s="45" t="s">
        <v>228</v>
      </c>
      <c r="C124" s="46">
        <v>0</v>
      </c>
      <c r="D124" s="30"/>
      <c r="E124" s="30"/>
      <c r="F124" s="46"/>
      <c r="G124" s="46"/>
      <c r="H124" s="30"/>
      <c r="I124" s="30"/>
      <c r="J124" s="46"/>
      <c r="K124" s="46"/>
      <c r="L124" s="30">
        <f t="shared" si="11"/>
        <v>0</v>
      </c>
      <c r="M124" s="30">
        <v>0</v>
      </c>
      <c r="N124" s="30">
        <f t="shared" si="10"/>
        <v>0</v>
      </c>
      <c r="O124" s="40">
        <f t="shared" si="12"/>
        <v>0</v>
      </c>
    </row>
    <row r="125" spans="1:15" ht="15.95" customHeight="1" x14ac:dyDescent="0.2">
      <c r="A125" s="44"/>
      <c r="B125" s="45"/>
      <c r="C125" s="46"/>
      <c r="D125" s="30"/>
      <c r="E125" s="30"/>
      <c r="F125" s="46"/>
      <c r="G125" s="46"/>
      <c r="H125" s="30"/>
      <c r="I125" s="30"/>
      <c r="J125" s="46"/>
      <c r="K125" s="46"/>
      <c r="L125" s="30"/>
      <c r="M125" s="30"/>
      <c r="N125" s="30"/>
      <c r="O125" s="40"/>
    </row>
    <row r="126" spans="1:15" ht="15.95" customHeight="1" x14ac:dyDescent="0.2">
      <c r="A126" s="43"/>
      <c r="B126" s="31"/>
      <c r="C126" s="30"/>
      <c r="D126" s="30"/>
      <c r="E126" s="30"/>
      <c r="F126" s="46"/>
      <c r="G126" s="46"/>
      <c r="H126" s="30"/>
      <c r="I126" s="30"/>
      <c r="J126" s="46"/>
      <c r="K126" s="46"/>
      <c r="L126" s="30"/>
      <c r="M126" s="30"/>
      <c r="N126" s="30"/>
      <c r="O126" s="40"/>
    </row>
    <row r="127" spans="1:15" ht="15.95" customHeight="1" x14ac:dyDescent="0.25">
      <c r="A127" s="41">
        <v>4</v>
      </c>
      <c r="B127" s="42" t="s">
        <v>83</v>
      </c>
      <c r="C127" s="28"/>
      <c r="D127" s="30"/>
      <c r="E127" s="30"/>
      <c r="F127" s="46"/>
      <c r="G127" s="46"/>
      <c r="H127" s="30"/>
      <c r="I127" s="30"/>
      <c r="J127" s="46"/>
      <c r="K127" s="46"/>
      <c r="L127" s="30"/>
      <c r="M127" s="30"/>
      <c r="N127" s="30"/>
      <c r="O127" s="40"/>
    </row>
    <row r="128" spans="1:15" ht="15.95" customHeight="1" x14ac:dyDescent="0.2">
      <c r="A128" s="43" t="s">
        <v>229</v>
      </c>
      <c r="B128" s="31" t="s">
        <v>84</v>
      </c>
      <c r="C128" s="30">
        <v>140900</v>
      </c>
      <c r="D128" s="30"/>
      <c r="E128" s="30"/>
      <c r="F128" s="46"/>
      <c r="G128" s="46"/>
      <c r="H128" s="30"/>
      <c r="I128" s="30"/>
      <c r="J128" s="46"/>
      <c r="K128" s="46"/>
      <c r="L128" s="30">
        <f t="shared" si="11"/>
        <v>140900</v>
      </c>
      <c r="M128" s="30">
        <v>0</v>
      </c>
      <c r="N128" s="30">
        <f t="shared" si="10"/>
        <v>140900</v>
      </c>
      <c r="O128" s="40">
        <f>M128/$M$132</f>
        <v>0</v>
      </c>
    </row>
    <row r="129" spans="1:15" ht="15.95" customHeight="1" x14ac:dyDescent="0.2">
      <c r="A129" s="43" t="s">
        <v>230</v>
      </c>
      <c r="B129" s="31" t="s">
        <v>231</v>
      </c>
      <c r="C129" s="30">
        <v>7170</v>
      </c>
      <c r="D129" s="30"/>
      <c r="E129" s="30"/>
      <c r="F129" s="30"/>
      <c r="G129" s="30"/>
      <c r="H129" s="30"/>
      <c r="I129" s="30"/>
      <c r="J129" s="46"/>
      <c r="K129" s="46"/>
      <c r="L129" s="30">
        <f t="shared" si="11"/>
        <v>7170</v>
      </c>
      <c r="M129" s="30">
        <v>0</v>
      </c>
      <c r="N129" s="30">
        <f t="shared" si="10"/>
        <v>7170</v>
      </c>
      <c r="O129" s="40">
        <f>M129/$M$132</f>
        <v>0</v>
      </c>
    </row>
    <row r="130" spans="1:15" ht="15.95" customHeight="1" x14ac:dyDescent="0.2">
      <c r="A130" s="43" t="s">
        <v>232</v>
      </c>
      <c r="B130" s="31" t="s">
        <v>233</v>
      </c>
      <c r="C130" s="30">
        <v>163700</v>
      </c>
      <c r="D130" s="30"/>
      <c r="E130" s="30"/>
      <c r="F130" s="30"/>
      <c r="G130" s="30"/>
      <c r="H130" s="30"/>
      <c r="I130" s="30"/>
      <c r="J130" s="46"/>
      <c r="K130" s="46"/>
      <c r="L130" s="30">
        <f t="shared" si="11"/>
        <v>163700</v>
      </c>
      <c r="M130" s="30">
        <v>3200</v>
      </c>
      <c r="N130" s="30">
        <f t="shared" si="10"/>
        <v>160500</v>
      </c>
      <c r="O130" s="40">
        <f>M130/$M$132</f>
        <v>7.3614276237433558E-3</v>
      </c>
    </row>
    <row r="131" spans="1:15" ht="15.95" customHeight="1" thickBot="1" x14ac:dyDescent="0.25">
      <c r="A131" s="43" t="s">
        <v>234</v>
      </c>
      <c r="B131" s="31" t="s">
        <v>235</v>
      </c>
      <c r="C131" s="30">
        <v>8750</v>
      </c>
      <c r="D131" s="30"/>
      <c r="E131" s="30"/>
      <c r="F131" s="30"/>
      <c r="G131" s="30"/>
      <c r="H131" s="30"/>
      <c r="I131" s="30"/>
      <c r="J131" s="46"/>
      <c r="K131" s="46"/>
      <c r="L131" s="30">
        <f t="shared" si="11"/>
        <v>8750</v>
      </c>
      <c r="M131" s="30">
        <v>0</v>
      </c>
      <c r="N131" s="30">
        <f t="shared" si="10"/>
        <v>8750</v>
      </c>
      <c r="O131" s="40">
        <f>M131/$M$132</f>
        <v>0</v>
      </c>
    </row>
    <row r="132" spans="1:15" ht="18" customHeight="1" thickBot="1" x14ac:dyDescent="0.3">
      <c r="A132" s="34"/>
      <c r="B132" s="35" t="s">
        <v>94</v>
      </c>
      <c r="C132" s="36">
        <f t="shared" ref="C132:N132" si="13">SUM(C31:C131)</f>
        <v>6416776.6099999994</v>
      </c>
      <c r="D132" s="36">
        <f t="shared" si="13"/>
        <v>0</v>
      </c>
      <c r="E132" s="36">
        <f t="shared" si="13"/>
        <v>0</v>
      </c>
      <c r="F132" s="36">
        <f t="shared" si="13"/>
        <v>0</v>
      </c>
      <c r="G132" s="36">
        <f t="shared" si="13"/>
        <v>0</v>
      </c>
      <c r="H132" s="36">
        <f t="shared" si="13"/>
        <v>0</v>
      </c>
      <c r="I132" s="36">
        <f t="shared" si="13"/>
        <v>0</v>
      </c>
      <c r="J132" s="71">
        <f t="shared" si="13"/>
        <v>0</v>
      </c>
      <c r="K132" s="71">
        <f t="shared" si="13"/>
        <v>0</v>
      </c>
      <c r="L132" s="36">
        <f t="shared" si="13"/>
        <v>6416776.6099999994</v>
      </c>
      <c r="M132" s="36">
        <f t="shared" si="13"/>
        <v>434698.29</v>
      </c>
      <c r="N132" s="36">
        <f t="shared" si="13"/>
        <v>5982078.3200000012</v>
      </c>
      <c r="O132" s="47">
        <v>1</v>
      </c>
    </row>
    <row r="133" spans="1:15" x14ac:dyDescent="0.2">
      <c r="A133" s="48"/>
      <c r="B133" s="85"/>
      <c r="C133" s="88"/>
      <c r="D133" s="86"/>
      <c r="E133" s="49"/>
      <c r="F133" s="49"/>
      <c r="G133" s="49"/>
      <c r="H133" s="49"/>
      <c r="I133" s="49"/>
      <c r="J133" s="72"/>
      <c r="K133" s="72"/>
      <c r="L133" s="49"/>
      <c r="M133" s="49"/>
      <c r="N133" s="49"/>
    </row>
    <row r="134" spans="1:15" ht="15.75" thickBot="1" x14ac:dyDescent="0.25">
      <c r="B134" s="87"/>
      <c r="C134" s="87"/>
      <c r="D134" s="87"/>
      <c r="E134" s="12"/>
      <c r="L134" s="15"/>
      <c r="M134" s="4"/>
    </row>
    <row r="135" spans="1:15" ht="15.75" x14ac:dyDescent="0.25">
      <c r="A135" s="1" t="s">
        <v>85</v>
      </c>
      <c r="B135" s="2"/>
      <c r="C135" s="3"/>
      <c r="D135" s="4"/>
      <c r="E135" s="4"/>
      <c r="F135" s="4"/>
      <c r="G135" s="4"/>
      <c r="H135" s="4"/>
      <c r="I135" s="4"/>
      <c r="J135" s="73"/>
      <c r="K135" s="73"/>
      <c r="L135" s="4"/>
      <c r="M135" s="4"/>
    </row>
    <row r="136" spans="1:15" ht="15.75" x14ac:dyDescent="0.25">
      <c r="A136" s="5" t="s">
        <v>2</v>
      </c>
      <c r="B136" s="6"/>
      <c r="C136" s="7"/>
      <c r="D136" s="4"/>
      <c r="E136" s="4"/>
      <c r="F136" s="4"/>
      <c r="G136" s="4"/>
      <c r="H136" s="4"/>
      <c r="I136" s="4"/>
      <c r="J136" s="73"/>
      <c r="K136" s="73"/>
      <c r="L136" s="4"/>
      <c r="M136" s="4"/>
    </row>
    <row r="137" spans="1:15" ht="5.0999999999999996" customHeight="1" thickBot="1" x14ac:dyDescent="0.25">
      <c r="A137" s="8"/>
      <c r="B137" s="9"/>
      <c r="C137" s="10"/>
      <c r="D137" s="4"/>
      <c r="E137" s="4"/>
      <c r="F137" s="4"/>
      <c r="G137" s="4"/>
      <c r="H137" s="4"/>
      <c r="I137" s="4"/>
      <c r="J137" s="73"/>
      <c r="K137" s="73"/>
      <c r="L137" s="4"/>
      <c r="M137" s="4"/>
    </row>
    <row r="138" spans="1:15" ht="6.95" customHeight="1" x14ac:dyDescent="0.2">
      <c r="A138" s="51"/>
      <c r="B138" s="52"/>
      <c r="C138" s="53"/>
      <c r="D138" s="4"/>
      <c r="E138" s="4"/>
      <c r="F138" s="4"/>
      <c r="G138" s="4"/>
      <c r="H138" s="4"/>
      <c r="I138" s="4"/>
      <c r="J138" s="73"/>
      <c r="K138" s="73"/>
      <c r="L138" s="4"/>
      <c r="M138" s="4"/>
    </row>
    <row r="139" spans="1:15" x14ac:dyDescent="0.2">
      <c r="A139" s="54" t="s">
        <v>86</v>
      </c>
      <c r="B139" s="55"/>
      <c r="C139" s="56"/>
      <c r="D139" s="4"/>
      <c r="E139" s="4"/>
      <c r="F139" s="4"/>
      <c r="G139" s="4"/>
      <c r="H139" s="4"/>
      <c r="I139" s="4"/>
      <c r="J139" s="73"/>
      <c r="K139" s="73"/>
      <c r="L139" s="4"/>
    </row>
    <row r="140" spans="1:15" x14ac:dyDescent="0.2">
      <c r="A140" s="57" t="s">
        <v>236</v>
      </c>
      <c r="B140" s="55"/>
      <c r="C140" s="76">
        <f>260706.83+1025276.81</f>
        <v>1285983.6400000001</v>
      </c>
      <c r="D140" s="49"/>
      <c r="E140" s="4"/>
      <c r="F140" s="4"/>
      <c r="G140" s="4"/>
      <c r="H140" s="4"/>
      <c r="I140" s="4"/>
      <c r="J140" s="73"/>
      <c r="K140" s="73"/>
      <c r="L140" s="4"/>
    </row>
    <row r="141" spans="1:15" x14ac:dyDescent="0.2">
      <c r="A141" s="57" t="s">
        <v>87</v>
      </c>
      <c r="B141" s="55"/>
      <c r="C141" s="76">
        <f>M26</f>
        <v>978746.12</v>
      </c>
      <c r="D141" s="4"/>
      <c r="E141" s="4"/>
      <c r="F141" s="4"/>
      <c r="G141" s="4"/>
      <c r="H141" s="4"/>
      <c r="I141" s="4"/>
      <c r="J141" s="73"/>
      <c r="K141" s="73"/>
      <c r="L141" s="4"/>
    </row>
    <row r="142" spans="1:15" x14ac:dyDescent="0.2">
      <c r="A142" s="57" t="s">
        <v>88</v>
      </c>
      <c r="B142" s="55"/>
      <c r="C142" s="77">
        <f>-M132</f>
        <v>-434698.29</v>
      </c>
      <c r="D142" s="4"/>
      <c r="E142" s="4"/>
      <c r="F142" s="4"/>
      <c r="G142" s="4"/>
      <c r="H142" s="4"/>
      <c r="I142" s="4"/>
      <c r="J142" s="73"/>
      <c r="K142" s="73"/>
      <c r="L142" s="4"/>
    </row>
    <row r="143" spans="1:15" ht="15.75" x14ac:dyDescent="0.25">
      <c r="A143" s="58" t="s">
        <v>89</v>
      </c>
      <c r="B143" s="59"/>
      <c r="C143" s="78">
        <f>SUM(C140:C142)</f>
        <v>1830031.4700000002</v>
      </c>
      <c r="D143" s="4"/>
      <c r="E143" s="4"/>
      <c r="F143" s="4"/>
      <c r="G143" s="4"/>
      <c r="H143" s="4"/>
      <c r="I143" s="4"/>
      <c r="J143" s="73"/>
      <c r="K143" s="73"/>
      <c r="L143" s="4"/>
    </row>
    <row r="144" spans="1:15" ht="5.0999999999999996" customHeight="1" x14ac:dyDescent="0.25">
      <c r="A144" s="58"/>
      <c r="B144" s="59"/>
      <c r="C144" s="78"/>
      <c r="D144" s="4"/>
      <c r="E144" s="4"/>
      <c r="F144" s="4"/>
      <c r="G144" s="4"/>
      <c r="H144" s="4"/>
      <c r="I144" s="4"/>
      <c r="J144" s="73"/>
      <c r="K144" s="73"/>
      <c r="L144" s="4"/>
    </row>
    <row r="145" spans="1:12" x14ac:dyDescent="0.2">
      <c r="A145" s="54" t="s">
        <v>90</v>
      </c>
      <c r="B145" s="55"/>
      <c r="C145" s="95"/>
      <c r="D145" s="90"/>
      <c r="E145" s="91"/>
      <c r="F145" s="4"/>
      <c r="G145" s="4"/>
      <c r="H145" s="4"/>
      <c r="I145" s="4"/>
      <c r="J145" s="73"/>
      <c r="K145" s="73"/>
      <c r="L145" s="4"/>
    </row>
    <row r="146" spans="1:12" x14ac:dyDescent="0.2">
      <c r="A146" s="57" t="s">
        <v>152</v>
      </c>
      <c r="B146" s="55"/>
      <c r="C146" s="95">
        <v>285.52999999999997</v>
      </c>
      <c r="D146" s="96"/>
      <c r="E146" s="91"/>
      <c r="F146" s="4"/>
      <c r="G146" s="4"/>
      <c r="H146" s="4"/>
      <c r="I146" s="4"/>
      <c r="J146" s="73"/>
      <c r="K146" s="73"/>
      <c r="L146" s="4"/>
    </row>
    <row r="147" spans="1:12" x14ac:dyDescent="0.2">
      <c r="A147" s="57" t="s">
        <v>156</v>
      </c>
      <c r="B147" s="55"/>
      <c r="C147" s="95">
        <v>11045.37</v>
      </c>
      <c r="D147" s="96"/>
      <c r="E147" s="91"/>
      <c r="F147" s="4"/>
      <c r="G147" s="4"/>
      <c r="H147" s="4"/>
      <c r="I147" s="4"/>
      <c r="J147" s="73"/>
      <c r="K147" s="73"/>
      <c r="L147" s="4"/>
    </row>
    <row r="148" spans="1:12" x14ac:dyDescent="0.2">
      <c r="A148" s="57" t="s">
        <v>154</v>
      </c>
      <c r="B148" s="55"/>
      <c r="C148" s="95">
        <f>2074.2-603.24-402.68-230.37</f>
        <v>837.90999999999974</v>
      </c>
      <c r="D148" s="96"/>
      <c r="E148" s="91"/>
      <c r="F148" s="4"/>
      <c r="G148" s="4"/>
      <c r="H148" s="4"/>
      <c r="I148" s="4"/>
      <c r="J148" s="73"/>
      <c r="K148" s="73"/>
      <c r="L148" s="4"/>
    </row>
    <row r="149" spans="1:12" x14ac:dyDescent="0.2">
      <c r="A149" s="57" t="s">
        <v>153</v>
      </c>
      <c r="B149" s="55"/>
      <c r="C149" s="95">
        <v>1790.39</v>
      </c>
      <c r="D149" s="96"/>
      <c r="E149" s="94"/>
      <c r="F149" s="4"/>
      <c r="G149" s="4"/>
      <c r="H149" s="4"/>
      <c r="I149" s="4"/>
      <c r="J149" s="73"/>
      <c r="K149" s="73"/>
      <c r="L149" s="4"/>
    </row>
    <row r="150" spans="1:12" x14ac:dyDescent="0.2">
      <c r="A150" s="57" t="s">
        <v>249</v>
      </c>
      <c r="B150" s="55"/>
      <c r="C150" s="95">
        <v>46067.8</v>
      </c>
      <c r="D150" s="96"/>
      <c r="E150" s="94"/>
      <c r="F150" s="4"/>
      <c r="G150" s="4"/>
      <c r="H150" s="4"/>
      <c r="I150" s="4"/>
      <c r="J150" s="73"/>
      <c r="K150" s="73"/>
      <c r="L150" s="4"/>
    </row>
    <row r="151" spans="1:12" ht="2.1" customHeight="1" x14ac:dyDescent="0.2">
      <c r="A151" s="57"/>
      <c r="B151" s="55"/>
      <c r="C151" s="77"/>
      <c r="D151" s="92"/>
      <c r="E151" s="91"/>
      <c r="F151" s="4"/>
      <c r="G151" s="4"/>
      <c r="H151" s="4"/>
      <c r="I151" s="4"/>
      <c r="J151" s="73"/>
      <c r="K151" s="73"/>
      <c r="L151" s="4"/>
    </row>
    <row r="152" spans="1:12" ht="15.75" x14ac:dyDescent="0.25">
      <c r="A152" s="58"/>
      <c r="B152" s="59"/>
      <c r="C152" s="78">
        <f>SUM(C146:C151)</f>
        <v>60027</v>
      </c>
      <c r="D152" s="92"/>
      <c r="E152" s="91"/>
      <c r="F152" s="4"/>
      <c r="G152" s="4"/>
      <c r="H152" s="4"/>
      <c r="I152" s="4"/>
      <c r="J152" s="73"/>
      <c r="K152" s="73"/>
      <c r="L152" s="4"/>
    </row>
    <row r="153" spans="1:12" ht="2.1" customHeight="1" x14ac:dyDescent="0.25">
      <c r="A153" s="58"/>
      <c r="B153" s="59"/>
      <c r="C153" s="79"/>
      <c r="D153" s="90"/>
      <c r="E153" s="91"/>
      <c r="F153" s="4"/>
      <c r="G153" s="4"/>
      <c r="H153" s="4"/>
      <c r="I153" s="4"/>
      <c r="J153" s="73"/>
      <c r="K153" s="73"/>
      <c r="L153" s="4"/>
    </row>
    <row r="154" spans="1:12" ht="9.9499999999999993" customHeight="1" x14ac:dyDescent="0.2">
      <c r="A154" s="57"/>
      <c r="B154" s="55"/>
      <c r="C154" s="76"/>
      <c r="D154" s="90"/>
      <c r="E154" s="91"/>
      <c r="F154" s="4"/>
      <c r="G154" s="4"/>
      <c r="H154" s="4"/>
      <c r="I154" s="4"/>
      <c r="J154" s="73"/>
      <c r="K154" s="73"/>
      <c r="L154" s="4"/>
    </row>
    <row r="155" spans="1:12" ht="16.5" thickBot="1" x14ac:dyDescent="0.3">
      <c r="A155" s="60" t="s">
        <v>247</v>
      </c>
      <c r="B155" s="61"/>
      <c r="C155" s="75">
        <f>C143+C152</f>
        <v>1890058.4700000002</v>
      </c>
      <c r="D155" s="90"/>
      <c r="E155" s="91"/>
      <c r="F155" s="4"/>
      <c r="G155" s="4"/>
      <c r="H155" s="4"/>
      <c r="I155" s="4"/>
      <c r="J155" s="73"/>
      <c r="K155" s="73"/>
      <c r="L155" s="4"/>
    </row>
    <row r="156" spans="1:12" x14ac:dyDescent="0.2">
      <c r="A156" s="62"/>
      <c r="B156" s="62"/>
      <c r="C156" s="63">
        <f>1890058.47-C155</f>
        <v>0</v>
      </c>
      <c r="D156" s="4"/>
      <c r="E156" s="4"/>
      <c r="F156" s="4"/>
      <c r="G156" s="4"/>
      <c r="H156" s="4"/>
      <c r="I156" s="4"/>
      <c r="J156" s="73"/>
      <c r="K156" s="73"/>
      <c r="L156" s="4"/>
    </row>
    <row r="157" spans="1:12" x14ac:dyDescent="0.2">
      <c r="B157" s="11" t="s">
        <v>248</v>
      </c>
      <c r="C157" s="14"/>
      <c r="D157" s="4"/>
    </row>
    <row r="158" spans="1:12" x14ac:dyDescent="0.2">
      <c r="C158" s="14"/>
      <c r="D158" s="4"/>
    </row>
    <row r="159" spans="1:12" x14ac:dyDescent="0.2">
      <c r="C159" s="14"/>
      <c r="D159" s="4"/>
    </row>
    <row r="160" spans="1:12" x14ac:dyDescent="0.2">
      <c r="C160" s="15"/>
      <c r="D160" s="4"/>
      <c r="I160" s="4"/>
      <c r="K160" s="73"/>
      <c r="L160" s="4"/>
    </row>
    <row r="161" spans="2:12" x14ac:dyDescent="0.2">
      <c r="C161" s="15"/>
      <c r="D161" s="4"/>
    </row>
    <row r="162" spans="2:12" x14ac:dyDescent="0.2">
      <c r="C162" s="15"/>
      <c r="D162" s="4"/>
    </row>
    <row r="163" spans="2:12" x14ac:dyDescent="0.2">
      <c r="C163" s="15"/>
      <c r="D163" s="4"/>
    </row>
    <row r="164" spans="2:12" x14ac:dyDescent="0.2">
      <c r="C164" s="15"/>
      <c r="D164" s="4"/>
    </row>
    <row r="165" spans="2:12" x14ac:dyDescent="0.2">
      <c r="D165" s="4"/>
    </row>
    <row r="166" spans="2:12" x14ac:dyDescent="0.2">
      <c r="D166" s="4"/>
    </row>
    <row r="167" spans="2:12" x14ac:dyDescent="0.2">
      <c r="D167" s="4"/>
    </row>
    <row r="168" spans="2:12" x14ac:dyDescent="0.2">
      <c r="B168" s="11" t="s">
        <v>239</v>
      </c>
      <c r="D168" s="4"/>
      <c r="E168" s="13" t="s">
        <v>240</v>
      </c>
      <c r="I168" s="50" t="s">
        <v>95</v>
      </c>
      <c r="K168" s="82"/>
    </row>
    <row r="169" spans="2:12" x14ac:dyDescent="0.2">
      <c r="B169" s="11" t="s">
        <v>91</v>
      </c>
      <c r="D169" s="4"/>
      <c r="E169" s="13" t="s">
        <v>92</v>
      </c>
      <c r="I169" s="50" t="s">
        <v>93</v>
      </c>
      <c r="K169" s="82"/>
    </row>
    <row r="170" spans="2:12" x14ac:dyDescent="0.2">
      <c r="D170" s="4"/>
      <c r="I170" s="13"/>
      <c r="K170" s="83"/>
    </row>
    <row r="174" spans="2:12" x14ac:dyDescent="0.2">
      <c r="I174" s="4"/>
      <c r="K174" s="73"/>
      <c r="L174" s="4"/>
    </row>
    <row r="175" spans="2:12" x14ac:dyDescent="0.2">
      <c r="I175" s="4"/>
      <c r="K175" s="73"/>
      <c r="L175" s="4"/>
    </row>
    <row r="176" spans="2:12" x14ac:dyDescent="0.2">
      <c r="G176" s="64"/>
      <c r="I176" s="64"/>
      <c r="K176" s="74"/>
      <c r="L176" s="4"/>
    </row>
    <row r="177" spans="7:12" x14ac:dyDescent="0.2">
      <c r="G177" s="64"/>
      <c r="I177" s="64"/>
      <c r="K177" s="74"/>
      <c r="L177" s="4"/>
    </row>
    <row r="178" spans="7:12" x14ac:dyDescent="0.2">
      <c r="G178" s="64"/>
      <c r="L178" s="4"/>
    </row>
    <row r="179" spans="7:12" x14ac:dyDescent="0.2">
      <c r="G179" s="64"/>
    </row>
    <row r="180" spans="7:12" x14ac:dyDescent="0.2">
      <c r="G180" s="64"/>
    </row>
    <row r="181" spans="7:12" x14ac:dyDescent="0.2">
      <c r="G181" s="64"/>
      <c r="L181" s="4"/>
    </row>
    <row r="182" spans="7:12" x14ac:dyDescent="0.2">
      <c r="G182" s="64"/>
    </row>
    <row r="183" spans="7:12" x14ac:dyDescent="0.2">
      <c r="G183" s="64"/>
    </row>
    <row r="184" spans="7:12" x14ac:dyDescent="0.2">
      <c r="G184" s="64"/>
    </row>
    <row r="185" spans="7:12" x14ac:dyDescent="0.2">
      <c r="G185" s="64"/>
    </row>
    <row r="186" spans="7:12" x14ac:dyDescent="0.2">
      <c r="G186" s="64"/>
    </row>
    <row r="187" spans="7:12" x14ac:dyDescent="0.2">
      <c r="G187" s="64"/>
    </row>
    <row r="188" spans="7:12" x14ac:dyDescent="0.2">
      <c r="G188" s="64"/>
    </row>
    <row r="189" spans="7:12" x14ac:dyDescent="0.2">
      <c r="G189" s="64"/>
    </row>
    <row r="190" spans="7:12" x14ac:dyDescent="0.2">
      <c r="G190" s="64"/>
    </row>
    <row r="191" spans="7:12" x14ac:dyDescent="0.2">
      <c r="G191" s="64"/>
    </row>
    <row r="192" spans="7:12" x14ac:dyDescent="0.2">
      <c r="G192" s="64"/>
    </row>
    <row r="193" spans="7:7" x14ac:dyDescent="0.2">
      <c r="G193" s="64"/>
    </row>
  </sheetData>
  <mergeCells count="2">
    <mergeCell ref="B6:B7"/>
    <mergeCell ref="M6:M7"/>
  </mergeCells>
  <printOptions horizontalCentered="1"/>
  <pageMargins left="0" right="0" top="0.78740157480314965" bottom="0.78740157480314965" header="0.39370078740157483" footer="0.39370078740157483"/>
  <pageSetup scale="60" orientation="landscape" horizontalDpi="4294967293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showGridLines="0" topLeftCell="A158" zoomScale="85" zoomScaleNormal="85" workbookViewId="0">
      <selection activeCell="B171" sqref="B171:F172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9" width="16.42578125" style="11" customWidth="1"/>
    <col min="10" max="11" width="13.42578125" style="62" hidden="1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5"/>
      <c r="K1" s="65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5"/>
      <c r="K2" s="65"/>
      <c r="L2" s="16"/>
      <c r="M2" s="16"/>
      <c r="N2" s="16"/>
      <c r="O2" s="17"/>
    </row>
    <row r="3" spans="1:15" ht="15.75" x14ac:dyDescent="0.25">
      <c r="A3" s="16" t="s">
        <v>250</v>
      </c>
      <c r="B3" s="16"/>
      <c r="C3" s="16"/>
      <c r="D3" s="16"/>
      <c r="E3" s="16"/>
      <c r="F3" s="16"/>
      <c r="G3" s="16"/>
      <c r="H3" s="16"/>
      <c r="I3" s="16"/>
      <c r="J3" s="65"/>
      <c r="K3" s="65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5"/>
      <c r="K4" s="65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6"/>
      <c r="K5" s="66"/>
      <c r="L5" s="17"/>
      <c r="M5" s="17"/>
      <c r="N5" s="17"/>
      <c r="O5" s="17"/>
    </row>
    <row r="6" spans="1:15" ht="16.5" thickBot="1" x14ac:dyDescent="0.3">
      <c r="A6" s="18" t="s">
        <v>3</v>
      </c>
      <c r="B6" s="100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9" t="s">
        <v>18</v>
      </c>
      <c r="I6" s="84"/>
      <c r="J6" s="67" t="s">
        <v>155</v>
      </c>
      <c r="K6" s="80" t="s">
        <v>155</v>
      </c>
      <c r="L6" s="18" t="s">
        <v>5</v>
      </c>
      <c r="M6" s="100" t="s">
        <v>8</v>
      </c>
      <c r="N6" s="18" t="s">
        <v>9</v>
      </c>
      <c r="O6" s="18" t="s">
        <v>10</v>
      </c>
    </row>
    <row r="7" spans="1:15" ht="16.5" thickBot="1" x14ac:dyDescent="0.3">
      <c r="A7" s="21" t="s">
        <v>11</v>
      </c>
      <c r="B7" s="101"/>
      <c r="C7" s="21" t="s">
        <v>12</v>
      </c>
      <c r="D7" s="22" t="s">
        <v>13</v>
      </c>
      <c r="E7" s="22" t="s">
        <v>14</v>
      </c>
      <c r="F7" s="22" t="s">
        <v>13</v>
      </c>
      <c r="G7" s="22" t="s">
        <v>14</v>
      </c>
      <c r="H7" s="22" t="s">
        <v>13</v>
      </c>
      <c r="I7" s="23" t="s">
        <v>14</v>
      </c>
      <c r="J7" s="68" t="s">
        <v>13</v>
      </c>
      <c r="K7" s="81" t="s">
        <v>14</v>
      </c>
      <c r="L7" s="21" t="s">
        <v>15</v>
      </c>
      <c r="M7" s="101"/>
      <c r="N7" s="21" t="s">
        <v>16</v>
      </c>
      <c r="O7" s="21" t="s">
        <v>17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9"/>
      <c r="K8" s="69"/>
      <c r="L8" s="25"/>
      <c r="M8" s="25"/>
      <c r="N8" s="25"/>
      <c r="O8" s="26"/>
    </row>
    <row r="9" spans="1:15" ht="15.95" customHeight="1" x14ac:dyDescent="0.25">
      <c r="A9" s="27"/>
      <c r="B9" s="27" t="s">
        <v>187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19</v>
      </c>
      <c r="B10" s="31" t="s">
        <v>188</v>
      </c>
      <c r="C10" s="30">
        <v>33000</v>
      </c>
      <c r="D10" s="30"/>
      <c r="E10" s="30"/>
      <c r="F10" s="30"/>
      <c r="G10" s="30"/>
      <c r="H10" s="30"/>
      <c r="I10" s="30"/>
      <c r="J10" s="46"/>
      <c r="K10" s="46"/>
      <c r="L10" s="30">
        <f t="shared" ref="L10:L22" si="0">C10+D10-E10+F10-G10+J10-K10</f>
        <v>33000</v>
      </c>
      <c r="M10" s="30">
        <f>13600+7600+600</f>
        <v>21800</v>
      </c>
      <c r="N10" s="30">
        <f t="shared" ref="N10:N22" si="1">L10-M10</f>
        <v>11200</v>
      </c>
      <c r="O10" s="29">
        <f>M10/$M$26</f>
        <v>1.6732670912988714E-2</v>
      </c>
    </row>
    <row r="11" spans="1:15" ht="15.95" hidden="1" customHeight="1" x14ac:dyDescent="0.25">
      <c r="A11" s="31" t="s">
        <v>29</v>
      </c>
      <c r="B11" s="31" t="s">
        <v>30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si="0"/>
        <v>0</v>
      </c>
      <c r="M11" s="30">
        <v>0</v>
      </c>
      <c r="N11" s="30">
        <v>0</v>
      </c>
      <c r="O11" s="29"/>
    </row>
    <row r="12" spans="1:15" ht="15.95" customHeight="1" x14ac:dyDescent="0.25">
      <c r="A12" s="31" t="s">
        <v>20</v>
      </c>
      <c r="B12" s="31" t="s">
        <v>189</v>
      </c>
      <c r="C12" s="30">
        <v>25000</v>
      </c>
      <c r="D12" s="30"/>
      <c r="E12" s="30"/>
      <c r="F12" s="30"/>
      <c r="G12" s="30"/>
      <c r="H12" s="30"/>
      <c r="I12" s="30"/>
      <c r="J12" s="46"/>
      <c r="K12" s="46"/>
      <c r="L12" s="30">
        <f t="shared" si="0"/>
        <v>25000</v>
      </c>
      <c r="M12" s="30">
        <f>400.4+1360+750</f>
        <v>2510.4</v>
      </c>
      <c r="N12" s="30">
        <f t="shared" si="1"/>
        <v>22489.599999999999</v>
      </c>
      <c r="O12" s="29">
        <f>M12/$M$26</f>
        <v>1.9268668376131593E-3</v>
      </c>
    </row>
    <row r="13" spans="1:15" ht="15.95" customHeight="1" x14ac:dyDescent="0.25">
      <c r="A13" s="31" t="s">
        <v>21</v>
      </c>
      <c r="B13" s="31" t="s">
        <v>190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0"/>
        <v>3500</v>
      </c>
      <c r="M13" s="30">
        <v>0</v>
      </c>
      <c r="N13" s="30">
        <f t="shared" si="1"/>
        <v>3500</v>
      </c>
      <c r="O13" s="29">
        <f>M13/$M$26</f>
        <v>0</v>
      </c>
    </row>
    <row r="14" spans="1:15" ht="15.95" customHeight="1" x14ac:dyDescent="0.25">
      <c r="A14" s="31"/>
      <c r="B14" s="27" t="s">
        <v>191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192</v>
      </c>
      <c r="B15" s="31" t="s">
        <v>245</v>
      </c>
      <c r="C15" s="30">
        <v>3300</v>
      </c>
      <c r="D15" s="30"/>
      <c r="E15" s="30"/>
      <c r="F15" s="30"/>
      <c r="G15" s="30"/>
      <c r="H15" s="30"/>
      <c r="I15" s="30"/>
      <c r="J15" s="46"/>
      <c r="K15" s="46"/>
      <c r="L15" s="30">
        <f t="shared" si="0"/>
        <v>3300</v>
      </c>
      <c r="M15" s="30">
        <f>471.37+563.88+670.99</f>
        <v>1706.24</v>
      </c>
      <c r="N15" s="30">
        <f t="shared" si="1"/>
        <v>1593.76</v>
      </c>
      <c r="O15" s="29">
        <f>M15/$M$26</f>
        <v>1.309630844888893E-3</v>
      </c>
    </row>
    <row r="16" spans="1:15" ht="15.95" customHeight="1" x14ac:dyDescent="0.25">
      <c r="A16" s="27" t="s">
        <v>242</v>
      </c>
      <c r="B16" s="27" t="s">
        <v>243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244</v>
      </c>
      <c r="B17" s="27" t="s">
        <v>241</v>
      </c>
      <c r="C17" s="89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22</v>
      </c>
      <c r="B18" s="31" t="s">
        <v>23</v>
      </c>
      <c r="C18" s="30">
        <v>2996512.52</v>
      </c>
      <c r="D18" s="30"/>
      <c r="E18" s="30"/>
      <c r="F18" s="30"/>
      <c r="G18" s="30"/>
      <c r="H18" s="30"/>
      <c r="I18" s="30"/>
      <c r="J18" s="46"/>
      <c r="K18" s="46"/>
      <c r="L18" s="30">
        <f t="shared" si="0"/>
        <v>2996512.52</v>
      </c>
      <c r="M18" s="30">
        <f>355870+247708.11+247708.11</f>
        <v>851286.22</v>
      </c>
      <c r="N18" s="30">
        <f t="shared" si="1"/>
        <v>2145226.2999999998</v>
      </c>
      <c r="O18" s="29">
        <f>M18/$M$26</f>
        <v>0.6534078977991794</v>
      </c>
    </row>
    <row r="19" spans="1:15" ht="15.95" hidden="1" customHeight="1" x14ac:dyDescent="0.25">
      <c r="A19" s="31" t="s">
        <v>24</v>
      </c>
      <c r="B19" s="31" t="s">
        <v>32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0"/>
        <v>0</v>
      </c>
      <c r="M19" s="30">
        <v>0</v>
      </c>
      <c r="N19" s="30">
        <f t="shared" si="1"/>
        <v>0</v>
      </c>
      <c r="O19" s="29">
        <f>M19/$M$26</f>
        <v>0</v>
      </c>
    </row>
    <row r="20" spans="1:15" ht="15.95" customHeight="1" x14ac:dyDescent="0.25">
      <c r="A20" s="31" t="s">
        <v>25</v>
      </c>
      <c r="B20" s="31" t="s">
        <v>26</v>
      </c>
      <c r="C20" s="30">
        <v>1809978.55</v>
      </c>
      <c r="D20" s="30"/>
      <c r="E20" s="30"/>
      <c r="F20" s="30"/>
      <c r="G20" s="30"/>
      <c r="H20" s="30"/>
      <c r="I20" s="30"/>
      <c r="J20" s="46"/>
      <c r="K20" s="46"/>
      <c r="L20" s="30">
        <f t="shared" si="0"/>
        <v>1809978.55</v>
      </c>
      <c r="M20" s="30">
        <f>351172.36+20685</f>
        <v>371857.36</v>
      </c>
      <c r="N20" s="30">
        <f t="shared" si="1"/>
        <v>1438121.19</v>
      </c>
      <c r="O20" s="29">
        <f>M20/$M$26</f>
        <v>0.28542049685563181</v>
      </c>
    </row>
    <row r="21" spans="1:15" ht="15.95" customHeight="1" x14ac:dyDescent="0.25">
      <c r="A21" s="31" t="s">
        <v>27</v>
      </c>
      <c r="B21" s="31" t="s">
        <v>28</v>
      </c>
      <c r="C21" s="30">
        <v>20000</v>
      </c>
      <c r="D21" s="30"/>
      <c r="E21" s="30"/>
      <c r="F21" s="30"/>
      <c r="G21" s="30"/>
      <c r="H21" s="30"/>
      <c r="I21" s="30"/>
      <c r="J21" s="46"/>
      <c r="K21" s="46"/>
      <c r="L21" s="30">
        <f t="shared" si="0"/>
        <v>20000</v>
      </c>
      <c r="M21" s="30">
        <v>0</v>
      </c>
      <c r="N21" s="30">
        <f t="shared" si="1"/>
        <v>20000</v>
      </c>
      <c r="O21" s="29">
        <f>M21/$M$26</f>
        <v>0</v>
      </c>
    </row>
    <row r="22" spans="1:15" ht="15.95" customHeight="1" x14ac:dyDescent="0.25">
      <c r="A22" s="32" t="s">
        <v>31</v>
      </c>
      <c r="B22" s="32" t="s">
        <v>33</v>
      </c>
      <c r="C22" s="33">
        <v>239501.9</v>
      </c>
      <c r="D22" s="33"/>
      <c r="E22" s="33"/>
      <c r="F22" s="33"/>
      <c r="G22" s="33"/>
      <c r="H22" s="33"/>
      <c r="I22" s="33"/>
      <c r="J22" s="70"/>
      <c r="K22" s="70"/>
      <c r="L22" s="30">
        <f t="shared" si="0"/>
        <v>239501.9</v>
      </c>
      <c r="M22" s="30">
        <v>53680.2</v>
      </c>
      <c r="N22" s="30">
        <f t="shared" si="1"/>
        <v>185821.7</v>
      </c>
      <c r="O22" s="29">
        <f>M22/$M$26</f>
        <v>4.1202436749698021E-2</v>
      </c>
    </row>
    <row r="23" spans="1:15" ht="15.95" customHeight="1" x14ac:dyDescent="0.25">
      <c r="A23" s="27"/>
      <c r="B23" s="27" t="s">
        <v>193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30"/>
      <c r="N23" s="28"/>
      <c r="O23" s="29"/>
    </row>
    <row r="24" spans="1:15" ht="15.95" customHeight="1" x14ac:dyDescent="0.25">
      <c r="A24" s="31" t="s">
        <v>196</v>
      </c>
      <c r="B24" s="31" t="s">
        <v>197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>
        <v>0</v>
      </c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195</v>
      </c>
      <c r="B25" s="31" t="s">
        <v>194</v>
      </c>
      <c r="C25" s="30">
        <v>1025276.81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1025276.81</v>
      </c>
      <c r="M25" s="30"/>
      <c r="N25" s="30">
        <f>L25-M25</f>
        <v>1025276.81</v>
      </c>
      <c r="O25" s="29">
        <f>M25/$M$26</f>
        <v>0</v>
      </c>
    </row>
    <row r="26" spans="1:15" ht="18" customHeight="1" thickBot="1" x14ac:dyDescent="0.3">
      <c r="A26" s="34"/>
      <c r="B26" s="35" t="s">
        <v>34</v>
      </c>
      <c r="C26" s="36">
        <f>SUM(C9:C25)</f>
        <v>6416776.6100000013</v>
      </c>
      <c r="D26" s="36">
        <f t="shared" ref="D26:N26" si="2">SUM(D9:D25)</f>
        <v>0</v>
      </c>
      <c r="E26" s="36">
        <f t="shared" si="2"/>
        <v>0</v>
      </c>
      <c r="F26" s="36">
        <f t="shared" si="2"/>
        <v>0</v>
      </c>
      <c r="G26" s="36">
        <f t="shared" si="2"/>
        <v>0</v>
      </c>
      <c r="H26" s="36">
        <f t="shared" si="2"/>
        <v>0</v>
      </c>
      <c r="I26" s="36">
        <f t="shared" si="2"/>
        <v>0</v>
      </c>
      <c r="J26" s="36">
        <f t="shared" si="2"/>
        <v>0</v>
      </c>
      <c r="K26" s="36">
        <f t="shared" si="2"/>
        <v>0</v>
      </c>
      <c r="L26" s="36">
        <f t="shared" si="2"/>
        <v>6416776.6100000013</v>
      </c>
      <c r="M26" s="36">
        <f t="shared" si="2"/>
        <v>1302840.42</v>
      </c>
      <c r="N26" s="36">
        <f t="shared" si="2"/>
        <v>5113936.1899999995</v>
      </c>
      <c r="O26" s="29"/>
    </row>
    <row r="27" spans="1:15" ht="15.95" customHeight="1" x14ac:dyDescent="0.2">
      <c r="A27" s="37"/>
      <c r="B27" s="37"/>
      <c r="C27" s="38">
        <f>6416776.61-C26</f>
        <v>0</v>
      </c>
      <c r="D27" s="38"/>
      <c r="E27" s="38"/>
      <c r="F27" s="38"/>
      <c r="G27" s="38"/>
      <c r="H27" s="38"/>
      <c r="I27" s="38"/>
      <c r="J27" s="69"/>
      <c r="K27" s="69"/>
      <c r="L27" s="38"/>
      <c r="M27" s="38"/>
      <c r="N27" s="38"/>
      <c r="O27" s="39"/>
    </row>
    <row r="28" spans="1:15" ht="15.95" customHeight="1" x14ac:dyDescent="0.25">
      <c r="A28" s="27" t="s">
        <v>35</v>
      </c>
      <c r="B28" s="27" t="s">
        <v>36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37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38</v>
      </c>
      <c r="B31" s="31" t="s">
        <v>159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v>190584.3</v>
      </c>
      <c r="N31" s="30">
        <f t="shared" ref="N31:N95" si="3">L31-M31</f>
        <v>593987.74</v>
      </c>
      <c r="O31" s="40">
        <f t="shared" ref="O31:O40" si="4">M31/$M$134</f>
        <v>0.20099466384812231</v>
      </c>
    </row>
    <row r="32" spans="1:15" ht="15.95" customHeight="1" x14ac:dyDescent="0.2">
      <c r="A32" s="43" t="s">
        <v>39</v>
      </c>
      <c r="B32" s="31" t="s">
        <v>160</v>
      </c>
      <c r="C32" s="30">
        <v>4500</v>
      </c>
      <c r="D32" s="30"/>
      <c r="E32" s="30"/>
      <c r="F32" s="46"/>
      <c r="G32" s="46"/>
      <c r="H32" s="30"/>
      <c r="I32" s="30"/>
      <c r="J32" s="46"/>
      <c r="K32" s="46"/>
      <c r="L32" s="30">
        <f t="shared" ref="L32:L40" si="5">C32+D32-E32+F32-G32+H32-I32+J32-K32</f>
        <v>4500</v>
      </c>
      <c r="M32" s="30">
        <v>1125</v>
      </c>
      <c r="N32" s="30">
        <f t="shared" si="3"/>
        <v>3375</v>
      </c>
      <c r="O32" s="40">
        <f t="shared" si="4"/>
        <v>1.1864513332375103E-3</v>
      </c>
    </row>
    <row r="33" spans="1:15" ht="15.95" customHeight="1" x14ac:dyDescent="0.2">
      <c r="A33" s="43" t="s">
        <v>40</v>
      </c>
      <c r="B33" s="31" t="s">
        <v>161</v>
      </c>
      <c r="C33" s="30">
        <v>281100</v>
      </c>
      <c r="D33" s="30"/>
      <c r="E33" s="30"/>
      <c r="F33" s="46"/>
      <c r="G33" s="46"/>
      <c r="H33" s="30"/>
      <c r="I33" s="30"/>
      <c r="J33" s="46"/>
      <c r="K33" s="46"/>
      <c r="L33" s="30">
        <f t="shared" si="5"/>
        <v>281100</v>
      </c>
      <c r="M33" s="30">
        <v>66150</v>
      </c>
      <c r="N33" s="30">
        <f t="shared" si="3"/>
        <v>214950</v>
      </c>
      <c r="O33" s="40">
        <f t="shared" si="4"/>
        <v>6.9763338394365604E-2</v>
      </c>
    </row>
    <row r="34" spans="1:15" ht="15.95" customHeight="1" x14ac:dyDescent="0.2">
      <c r="A34" s="43" t="s">
        <v>41</v>
      </c>
      <c r="B34" s="31" t="s">
        <v>42</v>
      </c>
      <c r="C34" s="30">
        <v>17500</v>
      </c>
      <c r="D34" s="30"/>
      <c r="E34" s="30"/>
      <c r="F34" s="46"/>
      <c r="G34" s="46"/>
      <c r="H34" s="30"/>
      <c r="I34" s="30"/>
      <c r="J34" s="46"/>
      <c r="K34" s="46"/>
      <c r="L34" s="30">
        <f t="shared" si="5"/>
        <v>17500</v>
      </c>
      <c r="M34" s="30">
        <v>0</v>
      </c>
      <c r="N34" s="30">
        <f t="shared" si="3"/>
        <v>17500</v>
      </c>
      <c r="O34" s="40">
        <f t="shared" si="4"/>
        <v>0</v>
      </c>
    </row>
    <row r="35" spans="1:15" ht="15.95" customHeight="1" x14ac:dyDescent="0.2">
      <c r="A35" s="43" t="s">
        <v>43</v>
      </c>
      <c r="B35" s="31" t="s">
        <v>162</v>
      </c>
      <c r="C35" s="30">
        <v>34510.800000000003</v>
      </c>
      <c r="D35" s="30"/>
      <c r="E35" s="30"/>
      <c r="F35" s="46"/>
      <c r="G35" s="46"/>
      <c r="H35" s="30"/>
      <c r="I35" s="30"/>
      <c r="J35" s="46"/>
      <c r="K35" s="46"/>
      <c r="L35" s="30">
        <f t="shared" si="5"/>
        <v>34510.800000000003</v>
      </c>
      <c r="M35" s="30">
        <v>6509.8899999999994</v>
      </c>
      <c r="N35" s="30">
        <f t="shared" si="3"/>
        <v>28000.910000000003</v>
      </c>
      <c r="O35" s="40">
        <f t="shared" si="4"/>
        <v>6.8654823730929194E-3</v>
      </c>
    </row>
    <row r="36" spans="1:15" ht="15.95" customHeight="1" x14ac:dyDescent="0.2">
      <c r="A36" s="43" t="s">
        <v>44</v>
      </c>
      <c r="B36" s="31" t="s">
        <v>163</v>
      </c>
      <c r="C36" s="30">
        <v>87401.15</v>
      </c>
      <c r="D36" s="30"/>
      <c r="E36" s="30"/>
      <c r="F36" s="46"/>
      <c r="G36" s="46"/>
      <c r="H36" s="30"/>
      <c r="I36" s="30"/>
      <c r="J36" s="46"/>
      <c r="K36" s="46"/>
      <c r="L36" s="30">
        <f t="shared" si="5"/>
        <v>87401.15</v>
      </c>
      <c r="M36" s="30">
        <v>21029.95</v>
      </c>
      <c r="N36" s="30">
        <f t="shared" si="3"/>
        <v>66371.199999999997</v>
      </c>
      <c r="O36" s="40">
        <f t="shared" si="4"/>
        <v>2.217867752481616E-2</v>
      </c>
    </row>
    <row r="37" spans="1:15" ht="15.95" customHeight="1" x14ac:dyDescent="0.2">
      <c r="A37" s="43" t="s">
        <v>45</v>
      </c>
      <c r="B37" s="31" t="s">
        <v>164</v>
      </c>
      <c r="C37" s="30">
        <v>8190.84</v>
      </c>
      <c r="D37" s="30"/>
      <c r="E37" s="30"/>
      <c r="F37" s="46"/>
      <c r="G37" s="46"/>
      <c r="H37" s="30"/>
      <c r="I37" s="30"/>
      <c r="J37" s="46"/>
      <c r="K37" s="46"/>
      <c r="L37" s="30">
        <f t="shared" si="5"/>
        <v>8190.84</v>
      </c>
      <c r="M37" s="30">
        <v>1970.9499999999998</v>
      </c>
      <c r="N37" s="30">
        <f t="shared" si="3"/>
        <v>6219.89</v>
      </c>
      <c r="O37" s="40">
        <f t="shared" si="4"/>
        <v>2.0786100046617517E-3</v>
      </c>
    </row>
    <row r="38" spans="1:15" ht="15.95" customHeight="1" x14ac:dyDescent="0.2">
      <c r="A38" s="43" t="s">
        <v>46</v>
      </c>
      <c r="B38" s="31" t="s">
        <v>47</v>
      </c>
      <c r="C38" s="30">
        <v>67581.009999999995</v>
      </c>
      <c r="D38" s="30"/>
      <c r="E38" s="30"/>
      <c r="F38" s="46"/>
      <c r="G38" s="46"/>
      <c r="H38" s="30"/>
      <c r="I38" s="30"/>
      <c r="J38" s="46"/>
      <c r="K38" s="46"/>
      <c r="L38" s="30">
        <f t="shared" si="5"/>
        <v>67581.009999999995</v>
      </c>
      <c r="M38" s="30">
        <v>0</v>
      </c>
      <c r="N38" s="30">
        <f t="shared" si="3"/>
        <v>67581.009999999995</v>
      </c>
      <c r="O38" s="40">
        <f t="shared" si="4"/>
        <v>0</v>
      </c>
    </row>
    <row r="39" spans="1:15" ht="15.95" customHeight="1" x14ac:dyDescent="0.2">
      <c r="A39" s="43" t="s">
        <v>48</v>
      </c>
      <c r="B39" s="31" t="s">
        <v>165</v>
      </c>
      <c r="C39" s="30">
        <v>67581.009999999995</v>
      </c>
      <c r="D39" s="30"/>
      <c r="E39" s="30"/>
      <c r="F39" s="46"/>
      <c r="G39" s="46"/>
      <c r="H39" s="30"/>
      <c r="I39" s="30"/>
      <c r="J39" s="46"/>
      <c r="K39" s="46"/>
      <c r="L39" s="30">
        <f t="shared" si="5"/>
        <v>67581.009999999995</v>
      </c>
      <c r="M39" s="30">
        <v>0</v>
      </c>
      <c r="N39" s="30">
        <f t="shared" si="3"/>
        <v>67581.009999999995</v>
      </c>
      <c r="O39" s="40">
        <f t="shared" si="4"/>
        <v>0</v>
      </c>
    </row>
    <row r="40" spans="1:15" ht="15.95" customHeight="1" x14ac:dyDescent="0.2">
      <c r="A40" s="43" t="s">
        <v>49</v>
      </c>
      <c r="B40" s="31" t="s">
        <v>50</v>
      </c>
      <c r="C40" s="30">
        <v>4400</v>
      </c>
      <c r="D40" s="30"/>
      <c r="E40" s="30"/>
      <c r="F40" s="46"/>
      <c r="G40" s="46"/>
      <c r="H40" s="30"/>
      <c r="I40" s="30"/>
      <c r="J40" s="46"/>
      <c r="K40" s="46"/>
      <c r="L40" s="30">
        <f t="shared" si="5"/>
        <v>4400</v>
      </c>
      <c r="M40" s="30">
        <v>0</v>
      </c>
      <c r="N40" s="30">
        <f t="shared" si="3"/>
        <v>4400</v>
      </c>
      <c r="O40" s="40">
        <f t="shared" si="4"/>
        <v>0</v>
      </c>
    </row>
    <row r="41" spans="1:15" ht="15.95" customHeight="1" x14ac:dyDescent="0.2">
      <c r="A41" s="43"/>
      <c r="B41" s="31"/>
      <c r="C41" s="30"/>
      <c r="D41" s="30"/>
      <c r="E41" s="30"/>
      <c r="F41" s="46"/>
      <c r="G41" s="46"/>
      <c r="H41" s="30"/>
      <c r="I41" s="30"/>
      <c r="J41" s="46"/>
      <c r="K41" s="46"/>
      <c r="L41" s="30"/>
      <c r="M41" s="30"/>
      <c r="N41" s="30"/>
      <c r="O41" s="40"/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5">
      <c r="A43" s="41">
        <v>1</v>
      </c>
      <c r="B43" s="42" t="s">
        <v>51</v>
      </c>
      <c r="C43" s="28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">
      <c r="A44" s="43" t="s">
        <v>96</v>
      </c>
      <c r="B44" s="31" t="s">
        <v>52</v>
      </c>
      <c r="C44" s="30">
        <v>13750</v>
      </c>
      <c r="D44" s="30"/>
      <c r="E44" s="30"/>
      <c r="F44" s="46"/>
      <c r="G44" s="46"/>
      <c r="H44" s="30"/>
      <c r="I44" s="30"/>
      <c r="J44" s="46"/>
      <c r="K44" s="46"/>
      <c r="L44" s="30">
        <f t="shared" ref="L44:L75" si="6">C44+D44-E44+F44-G44+H44-I44+J44-K44</f>
        <v>13750</v>
      </c>
      <c r="M44" s="30">
        <v>1931.8000000000002</v>
      </c>
      <c r="N44" s="30">
        <f t="shared" si="3"/>
        <v>11818.2</v>
      </c>
      <c r="O44" s="40">
        <f t="shared" ref="O44:O75" si="7">M44/$M$134</f>
        <v>2.0373214982650867E-3</v>
      </c>
    </row>
    <row r="45" spans="1:15" ht="15.95" customHeight="1" x14ac:dyDescent="0.2">
      <c r="A45" s="43" t="s">
        <v>97</v>
      </c>
      <c r="B45" s="31" t="s">
        <v>53</v>
      </c>
      <c r="C45" s="30">
        <v>26100</v>
      </c>
      <c r="D45" s="30"/>
      <c r="E45" s="30"/>
      <c r="F45" s="46"/>
      <c r="G45" s="46"/>
      <c r="H45" s="30"/>
      <c r="I45" s="30"/>
      <c r="J45" s="46"/>
      <c r="K45" s="46"/>
      <c r="L45" s="30">
        <f t="shared" si="6"/>
        <v>26100</v>
      </c>
      <c r="M45" s="30">
        <v>7151.63</v>
      </c>
      <c r="N45" s="30">
        <f t="shared" si="3"/>
        <v>18948.37</v>
      </c>
      <c r="O45" s="40">
        <f t="shared" si="7"/>
        <v>7.5422763985078895E-3</v>
      </c>
    </row>
    <row r="46" spans="1:15" ht="15.95" customHeight="1" x14ac:dyDescent="0.2">
      <c r="A46" s="43" t="s">
        <v>98</v>
      </c>
      <c r="B46" s="31" t="s">
        <v>54</v>
      </c>
      <c r="C46" s="30">
        <v>2000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2000</v>
      </c>
      <c r="M46" s="30">
        <v>135</v>
      </c>
      <c r="N46" s="30">
        <f t="shared" si="3"/>
        <v>1865</v>
      </c>
      <c r="O46" s="40">
        <f t="shared" si="7"/>
        <v>1.4237415998850122E-4</v>
      </c>
    </row>
    <row r="47" spans="1:15" ht="15.95" customHeight="1" x14ac:dyDescent="0.2">
      <c r="A47" s="43" t="s">
        <v>99</v>
      </c>
      <c r="B47" s="31" t="s">
        <v>166</v>
      </c>
      <c r="C47" s="30">
        <v>8000</v>
      </c>
      <c r="D47" s="30"/>
      <c r="E47" s="30"/>
      <c r="F47" s="46"/>
      <c r="G47" s="46"/>
      <c r="H47" s="30"/>
      <c r="I47" s="30"/>
      <c r="J47" s="46"/>
      <c r="K47" s="46"/>
      <c r="L47" s="30">
        <f t="shared" si="6"/>
        <v>8000</v>
      </c>
      <c r="M47" s="30">
        <v>5119.6100000000006</v>
      </c>
      <c r="N47" s="30">
        <f t="shared" si="3"/>
        <v>2880.3899999999994</v>
      </c>
      <c r="O47" s="40">
        <f t="shared" si="7"/>
        <v>5.399260542360969E-3</v>
      </c>
    </row>
    <row r="48" spans="1:15" ht="15.95" customHeight="1" x14ac:dyDescent="0.2">
      <c r="A48" s="43" t="s">
        <v>100</v>
      </c>
      <c r="B48" s="31" t="s">
        <v>167</v>
      </c>
      <c r="C48" s="30">
        <v>14250</v>
      </c>
      <c r="D48" s="30"/>
      <c r="E48" s="30"/>
      <c r="F48" s="46"/>
      <c r="G48" s="46"/>
      <c r="H48" s="30"/>
      <c r="I48" s="30"/>
      <c r="J48" s="46"/>
      <c r="K48" s="46"/>
      <c r="L48" s="30">
        <f t="shared" si="6"/>
        <v>14250</v>
      </c>
      <c r="M48" s="30">
        <v>430.75</v>
      </c>
      <c r="N48" s="30">
        <f t="shared" si="3"/>
        <v>13819.25</v>
      </c>
      <c r="O48" s="40">
        <f t="shared" si="7"/>
        <v>4.5427903270405114E-4</v>
      </c>
    </row>
    <row r="49" spans="1:15" ht="15.95" customHeight="1" x14ac:dyDescent="0.2">
      <c r="A49" s="43" t="s">
        <v>101</v>
      </c>
      <c r="B49" s="31" t="s">
        <v>168</v>
      </c>
      <c r="C49" s="30">
        <v>1176868.53</v>
      </c>
      <c r="D49" s="30"/>
      <c r="E49" s="30">
        <v>129000</v>
      </c>
      <c r="F49" s="46"/>
      <c r="G49" s="46"/>
      <c r="H49" s="30"/>
      <c r="I49" s="30"/>
      <c r="J49" s="46"/>
      <c r="K49" s="46"/>
      <c r="L49" s="30">
        <f t="shared" si="6"/>
        <v>1047868.53</v>
      </c>
      <c r="M49" s="30">
        <v>242364.35</v>
      </c>
      <c r="N49" s="30">
        <f t="shared" si="3"/>
        <v>805504.18</v>
      </c>
      <c r="O49" s="40">
        <f t="shared" si="7"/>
        <v>0.25560311661043783</v>
      </c>
    </row>
    <row r="50" spans="1:15" ht="15.95" customHeight="1" x14ac:dyDescent="0.2">
      <c r="A50" s="43" t="s">
        <v>102</v>
      </c>
      <c r="B50" s="31" t="s">
        <v>55</v>
      </c>
      <c r="C50" s="30">
        <v>619609.80000000005</v>
      </c>
      <c r="D50" s="30"/>
      <c r="E50" s="30"/>
      <c r="F50" s="46"/>
      <c r="G50" s="46"/>
      <c r="H50" s="30"/>
      <c r="I50" s="30"/>
      <c r="J50" s="46"/>
      <c r="K50" s="46"/>
      <c r="L50" s="30">
        <f t="shared" si="6"/>
        <v>619609.80000000005</v>
      </c>
      <c r="M50" s="30">
        <v>71364.740000000005</v>
      </c>
      <c r="N50" s="30">
        <f t="shared" si="3"/>
        <v>548245.06000000006</v>
      </c>
      <c r="O50" s="40">
        <f t="shared" si="7"/>
        <v>7.5262925261465136E-2</v>
      </c>
    </row>
    <row r="51" spans="1:15" ht="15.95" customHeight="1" x14ac:dyDescent="0.2">
      <c r="A51" s="43" t="s">
        <v>103</v>
      </c>
      <c r="B51" s="31" t="s">
        <v>169</v>
      </c>
      <c r="C51" s="30">
        <v>504047.6</v>
      </c>
      <c r="D51" s="30"/>
      <c r="E51" s="30"/>
      <c r="F51" s="46"/>
      <c r="G51" s="46"/>
      <c r="H51" s="30"/>
      <c r="I51" s="30"/>
      <c r="J51" s="46"/>
      <c r="K51" s="46"/>
      <c r="L51" s="30">
        <f t="shared" si="6"/>
        <v>504047.6</v>
      </c>
      <c r="M51" s="30">
        <v>160759.75999999998</v>
      </c>
      <c r="N51" s="30">
        <f t="shared" si="3"/>
        <v>343287.83999999997</v>
      </c>
      <c r="O51" s="40">
        <f t="shared" si="7"/>
        <v>0.16954100585150414</v>
      </c>
    </row>
    <row r="52" spans="1:15" ht="15.95" customHeight="1" x14ac:dyDescent="0.2">
      <c r="A52" s="43" t="s">
        <v>104</v>
      </c>
      <c r="B52" s="31" t="s">
        <v>56</v>
      </c>
      <c r="C52" s="30">
        <v>20750</v>
      </c>
      <c r="D52" s="30"/>
      <c r="E52" s="30"/>
      <c r="F52" s="46"/>
      <c r="G52" s="46"/>
      <c r="H52" s="30"/>
      <c r="I52" s="30"/>
      <c r="J52" s="46"/>
      <c r="K52" s="46"/>
      <c r="L52" s="30">
        <f t="shared" si="6"/>
        <v>20750</v>
      </c>
      <c r="M52" s="30">
        <v>7670.83</v>
      </c>
      <c r="N52" s="30">
        <f t="shared" si="3"/>
        <v>13079.17</v>
      </c>
      <c r="O52" s="40">
        <f t="shared" si="7"/>
        <v>8.0898368715895917E-3</v>
      </c>
    </row>
    <row r="53" spans="1:15" ht="15.95" customHeight="1" x14ac:dyDescent="0.2">
      <c r="A53" s="43" t="s">
        <v>105</v>
      </c>
      <c r="B53" s="31" t="s">
        <v>57</v>
      </c>
      <c r="C53" s="30">
        <v>42500</v>
      </c>
      <c r="D53" s="30"/>
      <c r="E53" s="30"/>
      <c r="F53" s="46"/>
      <c r="G53" s="46"/>
      <c r="H53" s="30"/>
      <c r="I53" s="30"/>
      <c r="J53" s="46"/>
      <c r="K53" s="46"/>
      <c r="L53" s="30">
        <f t="shared" si="6"/>
        <v>42500</v>
      </c>
      <c r="M53" s="30">
        <v>500</v>
      </c>
      <c r="N53" s="30">
        <f t="shared" si="3"/>
        <v>42000</v>
      </c>
      <c r="O53" s="40">
        <f t="shared" si="7"/>
        <v>5.2731170366111563E-4</v>
      </c>
    </row>
    <row r="54" spans="1:15" ht="15.95" customHeight="1" x14ac:dyDescent="0.2">
      <c r="A54" s="43" t="s">
        <v>106</v>
      </c>
      <c r="B54" s="31" t="s">
        <v>58</v>
      </c>
      <c r="C54" s="30">
        <v>4400</v>
      </c>
      <c r="D54" s="30"/>
      <c r="E54" s="30"/>
      <c r="F54" s="46"/>
      <c r="G54" s="46"/>
      <c r="H54" s="30"/>
      <c r="I54" s="30"/>
      <c r="J54" s="46"/>
      <c r="K54" s="46"/>
      <c r="L54" s="30">
        <f t="shared" si="6"/>
        <v>4400</v>
      </c>
      <c r="M54" s="30">
        <v>0</v>
      </c>
      <c r="N54" s="30">
        <f t="shared" si="3"/>
        <v>4400</v>
      </c>
      <c r="O54" s="40">
        <f t="shared" si="7"/>
        <v>0</v>
      </c>
    </row>
    <row r="55" spans="1:15" ht="15.95" customHeight="1" x14ac:dyDescent="0.2">
      <c r="A55" s="43" t="s">
        <v>107</v>
      </c>
      <c r="B55" s="31" t="s">
        <v>170</v>
      </c>
      <c r="C55" s="30">
        <v>3004.32</v>
      </c>
      <c r="D55" s="30"/>
      <c r="E55" s="30"/>
      <c r="F55" s="46"/>
      <c r="G55" s="46"/>
      <c r="H55" s="30"/>
      <c r="I55" s="30"/>
      <c r="J55" s="46"/>
      <c r="K55" s="46"/>
      <c r="L55" s="30">
        <f t="shared" si="6"/>
        <v>3004.32</v>
      </c>
      <c r="M55" s="30">
        <v>630</v>
      </c>
      <c r="N55" s="30">
        <f t="shared" si="3"/>
        <v>2374.3200000000002</v>
      </c>
      <c r="O55" s="40">
        <f t="shared" si="7"/>
        <v>6.6441274661300576E-4</v>
      </c>
    </row>
    <row r="56" spans="1:15" ht="15.95" customHeight="1" x14ac:dyDescent="0.2">
      <c r="A56" s="43" t="s">
        <v>108</v>
      </c>
      <c r="B56" s="31" t="s">
        <v>171</v>
      </c>
      <c r="C56" s="30">
        <v>7750</v>
      </c>
      <c r="D56" s="30"/>
      <c r="E56" s="30"/>
      <c r="F56" s="46"/>
      <c r="G56" s="46"/>
      <c r="H56" s="30"/>
      <c r="I56" s="30"/>
      <c r="J56" s="46"/>
      <c r="K56" s="46"/>
      <c r="L56" s="30">
        <f t="shared" si="6"/>
        <v>7750</v>
      </c>
      <c r="M56" s="30">
        <v>0</v>
      </c>
      <c r="N56" s="30">
        <f t="shared" si="3"/>
        <v>7750</v>
      </c>
      <c r="O56" s="40">
        <f t="shared" si="7"/>
        <v>0</v>
      </c>
    </row>
    <row r="57" spans="1:15" ht="15.95" customHeight="1" x14ac:dyDescent="0.2">
      <c r="A57" s="43" t="s">
        <v>109</v>
      </c>
      <c r="B57" s="31" t="s">
        <v>172</v>
      </c>
      <c r="C57" s="30">
        <v>7000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7000</v>
      </c>
      <c r="M57" s="30">
        <v>263.2</v>
      </c>
      <c r="N57" s="30">
        <f t="shared" si="3"/>
        <v>6736.8</v>
      </c>
      <c r="O57" s="40">
        <f t="shared" si="7"/>
        <v>2.7757688080721127E-4</v>
      </c>
    </row>
    <row r="58" spans="1:15" ht="15.95" customHeight="1" x14ac:dyDescent="0.2">
      <c r="A58" s="43" t="s">
        <v>110</v>
      </c>
      <c r="B58" s="31" t="s">
        <v>173</v>
      </c>
      <c r="C58" s="30">
        <v>4000</v>
      </c>
      <c r="D58" s="30"/>
      <c r="E58" s="30"/>
      <c r="F58" s="46"/>
      <c r="G58" s="46"/>
      <c r="H58" s="30"/>
      <c r="I58" s="30"/>
      <c r="J58" s="46"/>
      <c r="K58" s="46"/>
      <c r="L58" s="30">
        <f t="shared" si="6"/>
        <v>4000</v>
      </c>
      <c r="M58" s="30">
        <v>0</v>
      </c>
      <c r="N58" s="30">
        <f t="shared" si="3"/>
        <v>4000</v>
      </c>
      <c r="O58" s="40">
        <f t="shared" si="7"/>
        <v>0</v>
      </c>
    </row>
    <row r="59" spans="1:15" ht="15.95" hidden="1" customHeight="1" x14ac:dyDescent="0.2">
      <c r="A59" s="43" t="s">
        <v>111</v>
      </c>
      <c r="B59" s="31" t="s">
        <v>174</v>
      </c>
      <c r="C59" s="30"/>
      <c r="D59" s="30"/>
      <c r="E59" s="30"/>
      <c r="F59" s="46"/>
      <c r="G59" s="46"/>
      <c r="H59" s="30"/>
      <c r="I59" s="30"/>
      <c r="J59" s="46"/>
      <c r="K59" s="46"/>
      <c r="L59" s="30">
        <f t="shared" si="6"/>
        <v>0</v>
      </c>
      <c r="M59" s="30">
        <v>0</v>
      </c>
      <c r="N59" s="30">
        <f t="shared" si="3"/>
        <v>0</v>
      </c>
      <c r="O59" s="40">
        <f t="shared" si="7"/>
        <v>0</v>
      </c>
    </row>
    <row r="60" spans="1:15" ht="15.95" customHeight="1" x14ac:dyDescent="0.2">
      <c r="A60" s="43" t="s">
        <v>112</v>
      </c>
      <c r="B60" s="31" t="s">
        <v>175</v>
      </c>
      <c r="C60" s="30">
        <v>9750</v>
      </c>
      <c r="D60" s="30"/>
      <c r="E60" s="30"/>
      <c r="F60" s="46"/>
      <c r="G60" s="46"/>
      <c r="H60" s="30"/>
      <c r="I60" s="30"/>
      <c r="J60" s="46"/>
      <c r="K60" s="46"/>
      <c r="L60" s="30">
        <f t="shared" si="6"/>
        <v>9750</v>
      </c>
      <c r="M60" s="30">
        <v>0</v>
      </c>
      <c r="N60" s="30">
        <f t="shared" si="3"/>
        <v>9750</v>
      </c>
      <c r="O60" s="40">
        <f t="shared" si="7"/>
        <v>0</v>
      </c>
    </row>
    <row r="61" spans="1:15" ht="15.95" customHeight="1" x14ac:dyDescent="0.2">
      <c r="A61" s="43" t="s">
        <v>113</v>
      </c>
      <c r="B61" s="31" t="s">
        <v>176</v>
      </c>
      <c r="C61" s="30">
        <v>260706.83</v>
      </c>
      <c r="D61" s="30"/>
      <c r="E61" s="30"/>
      <c r="F61" s="46"/>
      <c r="G61" s="46"/>
      <c r="H61" s="30"/>
      <c r="I61" s="30"/>
      <c r="J61" s="46"/>
      <c r="K61" s="46"/>
      <c r="L61" s="30">
        <f t="shared" si="6"/>
        <v>260706.83</v>
      </c>
      <c r="M61" s="30">
        <v>0</v>
      </c>
      <c r="N61" s="30">
        <f t="shared" si="3"/>
        <v>260706.83</v>
      </c>
      <c r="O61" s="40">
        <f t="shared" si="7"/>
        <v>0</v>
      </c>
    </row>
    <row r="62" spans="1:15" ht="15.95" customHeight="1" x14ac:dyDescent="0.2">
      <c r="A62" s="43">
        <v>182</v>
      </c>
      <c r="B62" s="31" t="s">
        <v>255</v>
      </c>
      <c r="C62" s="30">
        <v>0</v>
      </c>
      <c r="D62" s="30">
        <v>2500</v>
      </c>
      <c r="E62" s="30"/>
      <c r="F62" s="46"/>
      <c r="G62" s="46"/>
      <c r="H62" s="30"/>
      <c r="I62" s="30"/>
      <c r="J62" s="46"/>
      <c r="K62" s="46"/>
      <c r="L62" s="30">
        <f>C62+D62-E62+F62-G62+H62-I62+J62-K62</f>
        <v>2500</v>
      </c>
      <c r="M62" s="30">
        <v>0</v>
      </c>
      <c r="N62" s="30">
        <f>L62-M62</f>
        <v>2500</v>
      </c>
      <c r="O62" s="40">
        <f t="shared" si="7"/>
        <v>0</v>
      </c>
    </row>
    <row r="63" spans="1:15" ht="15.95" customHeight="1" x14ac:dyDescent="0.2">
      <c r="A63" s="43" t="s">
        <v>114</v>
      </c>
      <c r="B63" s="31" t="s">
        <v>177</v>
      </c>
      <c r="C63" s="30">
        <v>15000</v>
      </c>
      <c r="D63" s="30">
        <v>12000</v>
      </c>
      <c r="E63" s="30"/>
      <c r="F63" s="46"/>
      <c r="G63" s="46"/>
      <c r="H63" s="30"/>
      <c r="I63" s="30"/>
      <c r="J63" s="46"/>
      <c r="K63" s="46"/>
      <c r="L63" s="30">
        <f t="shared" si="6"/>
        <v>27000</v>
      </c>
      <c r="M63" s="30">
        <v>4800</v>
      </c>
      <c r="N63" s="30">
        <f t="shared" si="3"/>
        <v>22200</v>
      </c>
      <c r="O63" s="40">
        <f t="shared" si="7"/>
        <v>5.0621923551467107E-3</v>
      </c>
    </row>
    <row r="64" spans="1:15" ht="15.95" customHeight="1" x14ac:dyDescent="0.2">
      <c r="A64" s="43" t="s">
        <v>115</v>
      </c>
      <c r="B64" s="31" t="s">
        <v>178</v>
      </c>
      <c r="C64" s="30">
        <v>54000</v>
      </c>
      <c r="D64" s="30"/>
      <c r="E64" s="30"/>
      <c r="F64" s="46"/>
      <c r="G64" s="46"/>
      <c r="H64" s="30"/>
      <c r="I64" s="30"/>
      <c r="J64" s="46"/>
      <c r="K64" s="46"/>
      <c r="L64" s="30">
        <f t="shared" si="6"/>
        <v>54000</v>
      </c>
      <c r="M64" s="30">
        <v>13500</v>
      </c>
      <c r="N64" s="30">
        <f t="shared" si="3"/>
        <v>40500</v>
      </c>
      <c r="O64" s="40">
        <f t="shared" si="7"/>
        <v>1.4237415998850122E-2</v>
      </c>
    </row>
    <row r="65" spans="1:15" ht="15.95" customHeight="1" x14ac:dyDescent="0.2">
      <c r="A65" s="43" t="s">
        <v>116</v>
      </c>
      <c r="B65" s="31" t="s">
        <v>59</v>
      </c>
      <c r="C65" s="30">
        <v>7500</v>
      </c>
      <c r="D65" s="30"/>
      <c r="E65" s="30"/>
      <c r="F65" s="46"/>
      <c r="G65" s="46"/>
      <c r="H65" s="30"/>
      <c r="I65" s="30"/>
      <c r="J65" s="46"/>
      <c r="K65" s="46"/>
      <c r="L65" s="30">
        <f t="shared" si="6"/>
        <v>7500</v>
      </c>
      <c r="M65" s="30">
        <v>500</v>
      </c>
      <c r="N65" s="30">
        <f t="shared" si="3"/>
        <v>7000</v>
      </c>
      <c r="O65" s="40">
        <f t="shared" si="7"/>
        <v>5.2731170366111563E-4</v>
      </c>
    </row>
    <row r="66" spans="1:15" ht="15.95" customHeight="1" x14ac:dyDescent="0.2">
      <c r="A66" s="43" t="s">
        <v>117</v>
      </c>
      <c r="B66" s="31" t="s">
        <v>179</v>
      </c>
      <c r="C66" s="30">
        <v>24540</v>
      </c>
      <c r="D66" s="30"/>
      <c r="E66" s="30"/>
      <c r="F66" s="46"/>
      <c r="G66" s="46"/>
      <c r="H66" s="30"/>
      <c r="I66" s="30"/>
      <c r="J66" s="46"/>
      <c r="K66" s="46"/>
      <c r="L66" s="30">
        <f t="shared" si="6"/>
        <v>24540</v>
      </c>
      <c r="M66" s="30">
        <v>3714</v>
      </c>
      <c r="N66" s="30">
        <f t="shared" si="3"/>
        <v>20826</v>
      </c>
      <c r="O66" s="40">
        <f t="shared" si="7"/>
        <v>3.9168713347947672E-3</v>
      </c>
    </row>
    <row r="67" spans="1:15" ht="15.95" customHeight="1" x14ac:dyDescent="0.2">
      <c r="A67" s="43" t="s">
        <v>118</v>
      </c>
      <c r="B67" s="31" t="s">
        <v>180</v>
      </c>
      <c r="C67" s="30">
        <v>8000</v>
      </c>
      <c r="D67" s="30"/>
      <c r="E67" s="30"/>
      <c r="F67" s="46"/>
      <c r="G67" s="46"/>
      <c r="H67" s="30"/>
      <c r="I67" s="30"/>
      <c r="J67" s="46"/>
      <c r="K67" s="46"/>
      <c r="L67" s="30">
        <f t="shared" si="6"/>
        <v>8000</v>
      </c>
      <c r="M67" s="30">
        <v>3200</v>
      </c>
      <c r="N67" s="30">
        <f t="shared" si="3"/>
        <v>4800</v>
      </c>
      <c r="O67" s="40">
        <f t="shared" si="7"/>
        <v>3.3747949034311402E-3</v>
      </c>
    </row>
    <row r="68" spans="1:15" ht="15.95" customHeight="1" x14ac:dyDescent="0.2">
      <c r="A68" s="43" t="s">
        <v>119</v>
      </c>
      <c r="B68" s="31" t="s">
        <v>181</v>
      </c>
      <c r="C68" s="30">
        <v>8000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8000</v>
      </c>
      <c r="M68" s="30">
        <v>0</v>
      </c>
      <c r="N68" s="30">
        <f t="shared" si="3"/>
        <v>8000</v>
      </c>
      <c r="O68" s="40">
        <f t="shared" si="7"/>
        <v>0</v>
      </c>
    </row>
    <row r="69" spans="1:15" ht="15.95" customHeight="1" x14ac:dyDescent="0.2">
      <c r="A69" s="43" t="s">
        <v>120</v>
      </c>
      <c r="B69" s="31" t="s">
        <v>60</v>
      </c>
      <c r="C69" s="30">
        <v>225800</v>
      </c>
      <c r="D69" s="30">
        <v>17000</v>
      </c>
      <c r="E69" s="30"/>
      <c r="F69" s="46"/>
      <c r="G69" s="46"/>
      <c r="H69" s="30"/>
      <c r="I69" s="30"/>
      <c r="J69" s="46"/>
      <c r="K69" s="46"/>
      <c r="L69" s="30">
        <f t="shared" si="6"/>
        <v>242800</v>
      </c>
      <c r="M69" s="30">
        <v>47205</v>
      </c>
      <c r="N69" s="30">
        <f t="shared" si="3"/>
        <v>195595</v>
      </c>
      <c r="O69" s="40">
        <f t="shared" si="7"/>
        <v>4.978349794264593E-2</v>
      </c>
    </row>
    <row r="70" spans="1:15" ht="15.95" customHeight="1" x14ac:dyDescent="0.2">
      <c r="A70" s="43" t="s">
        <v>121</v>
      </c>
      <c r="B70" s="31" t="s">
        <v>182</v>
      </c>
      <c r="C70" s="30">
        <v>8250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8250</v>
      </c>
      <c r="M70" s="30">
        <v>0</v>
      </c>
      <c r="N70" s="30">
        <f t="shared" si="3"/>
        <v>8250</v>
      </c>
      <c r="O70" s="40">
        <f t="shared" si="7"/>
        <v>0</v>
      </c>
    </row>
    <row r="71" spans="1:15" ht="15.95" customHeight="1" x14ac:dyDescent="0.2">
      <c r="A71" s="43" t="s">
        <v>122</v>
      </c>
      <c r="B71" s="31" t="s">
        <v>183</v>
      </c>
      <c r="C71" s="30">
        <v>2500</v>
      </c>
      <c r="D71" s="30"/>
      <c r="E71" s="30"/>
      <c r="F71" s="46"/>
      <c r="G71" s="46"/>
      <c r="H71" s="30"/>
      <c r="I71" s="30"/>
      <c r="J71" s="46"/>
      <c r="K71" s="46"/>
      <c r="L71" s="30">
        <f t="shared" si="6"/>
        <v>2500</v>
      </c>
      <c r="M71" s="30">
        <v>425.63</v>
      </c>
      <c r="N71" s="30">
        <f t="shared" si="3"/>
        <v>2074.37</v>
      </c>
      <c r="O71" s="40">
        <f t="shared" si="7"/>
        <v>4.488793608585613E-4</v>
      </c>
    </row>
    <row r="72" spans="1:15" ht="15.95" customHeight="1" x14ac:dyDescent="0.2">
      <c r="A72" s="43" t="s">
        <v>123</v>
      </c>
      <c r="B72" s="31" t="s">
        <v>61</v>
      </c>
      <c r="C72" s="30">
        <v>7000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7000</v>
      </c>
      <c r="M72" s="30">
        <v>274.31</v>
      </c>
      <c r="N72" s="30">
        <f t="shared" si="3"/>
        <v>6725.69</v>
      </c>
      <c r="O72" s="40">
        <f t="shared" si="7"/>
        <v>2.8929374686256125E-4</v>
      </c>
    </row>
    <row r="73" spans="1:15" ht="15.95" customHeight="1" x14ac:dyDescent="0.2">
      <c r="A73" s="43" t="s">
        <v>124</v>
      </c>
      <c r="B73" s="31" t="s">
        <v>184</v>
      </c>
      <c r="C73" s="30">
        <v>2000</v>
      </c>
      <c r="D73" s="30"/>
      <c r="E73" s="30"/>
      <c r="F73" s="46"/>
      <c r="G73" s="46"/>
      <c r="H73" s="30"/>
      <c r="I73" s="30"/>
      <c r="J73" s="46"/>
      <c r="K73" s="46"/>
      <c r="L73" s="30">
        <f t="shared" si="6"/>
        <v>2000</v>
      </c>
      <c r="M73" s="30">
        <v>0</v>
      </c>
      <c r="N73" s="30">
        <f t="shared" si="3"/>
        <v>2000</v>
      </c>
      <c r="O73" s="40">
        <f t="shared" si="7"/>
        <v>0</v>
      </c>
    </row>
    <row r="74" spans="1:15" ht="15.95" customHeight="1" x14ac:dyDescent="0.2">
      <c r="A74" s="43" t="s">
        <v>185</v>
      </c>
      <c r="B74" s="31" t="s">
        <v>157</v>
      </c>
      <c r="C74" s="30">
        <v>89500</v>
      </c>
      <c r="D74" s="30"/>
      <c r="E74" s="30"/>
      <c r="F74" s="46"/>
      <c r="G74" s="46"/>
      <c r="H74" s="30"/>
      <c r="I74" s="30"/>
      <c r="J74" s="46"/>
      <c r="K74" s="46"/>
      <c r="L74" s="30">
        <f t="shared" si="6"/>
        <v>89500</v>
      </c>
      <c r="M74" s="30">
        <v>0</v>
      </c>
      <c r="N74" s="30">
        <f t="shared" si="3"/>
        <v>89500</v>
      </c>
      <c r="O74" s="40">
        <f t="shared" si="7"/>
        <v>0</v>
      </c>
    </row>
    <row r="75" spans="1:15" ht="15.95" customHeight="1" x14ac:dyDescent="0.2">
      <c r="A75" s="43" t="s">
        <v>125</v>
      </c>
      <c r="B75" s="31" t="s">
        <v>186</v>
      </c>
      <c r="C75" s="30">
        <v>21000</v>
      </c>
      <c r="D75" s="30">
        <v>3500</v>
      </c>
      <c r="E75" s="30"/>
      <c r="F75" s="46"/>
      <c r="G75" s="46"/>
      <c r="H75" s="30"/>
      <c r="I75" s="30"/>
      <c r="J75" s="46"/>
      <c r="K75" s="46"/>
      <c r="L75" s="30">
        <f t="shared" si="6"/>
        <v>24500</v>
      </c>
      <c r="M75" s="30">
        <f>9990</f>
        <v>9990</v>
      </c>
      <c r="N75" s="30">
        <f t="shared" si="3"/>
        <v>14510</v>
      </c>
      <c r="O75" s="40">
        <f t="shared" si="7"/>
        <v>1.0535687839149091E-2</v>
      </c>
    </row>
    <row r="76" spans="1:15" ht="15.95" customHeight="1" x14ac:dyDescent="0.2">
      <c r="A76" s="43"/>
      <c r="B76" s="31"/>
      <c r="C76" s="30"/>
      <c r="D76" s="30"/>
      <c r="E76" s="30"/>
      <c r="F76" s="46"/>
      <c r="G76" s="46"/>
      <c r="H76" s="30"/>
      <c r="I76" s="30"/>
      <c r="J76" s="46"/>
      <c r="K76" s="46"/>
      <c r="L76" s="30"/>
      <c r="M76" s="30"/>
      <c r="N76" s="30"/>
      <c r="O76" s="40"/>
    </row>
    <row r="77" spans="1:15" ht="15.95" customHeight="1" x14ac:dyDescent="0.2">
      <c r="A77" s="43"/>
      <c r="B77" s="31"/>
      <c r="C77" s="30"/>
      <c r="D77" s="30"/>
      <c r="E77" s="30"/>
      <c r="F77" s="46"/>
      <c r="G77" s="46"/>
      <c r="H77" s="30"/>
      <c r="I77" s="30"/>
      <c r="J77" s="46"/>
      <c r="K77" s="46"/>
      <c r="L77" s="30"/>
      <c r="M77" s="30"/>
      <c r="N77" s="30"/>
      <c r="O77" s="40"/>
    </row>
    <row r="78" spans="1:15" ht="15.95" customHeight="1" x14ac:dyDescent="0.25">
      <c r="A78" s="41">
        <v>2</v>
      </c>
      <c r="B78" s="42" t="s">
        <v>62</v>
      </c>
      <c r="C78" s="28"/>
      <c r="D78" s="30"/>
      <c r="E78" s="30"/>
      <c r="F78" s="46"/>
      <c r="G78" s="46"/>
      <c r="H78" s="30"/>
      <c r="I78" s="30"/>
      <c r="J78" s="46"/>
      <c r="K78" s="46"/>
      <c r="L78" s="30"/>
      <c r="M78" s="30"/>
      <c r="N78" s="30"/>
      <c r="O78" s="40"/>
    </row>
    <row r="79" spans="1:15" ht="15.95" customHeight="1" x14ac:dyDescent="0.2">
      <c r="A79" s="43" t="s">
        <v>126</v>
      </c>
      <c r="B79" s="31" t="s">
        <v>63</v>
      </c>
      <c r="C79" s="30">
        <v>114414.1</v>
      </c>
      <c r="D79" s="30"/>
      <c r="E79" s="30"/>
      <c r="F79" s="46"/>
      <c r="G79" s="46"/>
      <c r="H79" s="30"/>
      <c r="I79" s="30"/>
      <c r="J79" s="46"/>
      <c r="K79" s="46"/>
      <c r="L79" s="30">
        <f t="shared" ref="L79:L115" si="8">C79+D79-E79+F79-G79+H79-I79+J79-K79</f>
        <v>114414.1</v>
      </c>
      <c r="M79" s="30">
        <v>16890</v>
      </c>
      <c r="N79" s="30">
        <f t="shared" si="3"/>
        <v>97524.1</v>
      </c>
      <c r="O79" s="40">
        <f t="shared" ref="O79:O115" si="9">M79/$M$134</f>
        <v>1.7812589349672486E-2</v>
      </c>
    </row>
    <row r="80" spans="1:15" ht="15.95" hidden="1" customHeight="1" x14ac:dyDescent="0.2">
      <c r="A80" s="43">
        <v>214</v>
      </c>
      <c r="B80" s="31" t="s">
        <v>198</v>
      </c>
      <c r="C80" s="30"/>
      <c r="D80" s="30"/>
      <c r="E80" s="30"/>
      <c r="F80" s="46"/>
      <c r="G80" s="46"/>
      <c r="H80" s="30"/>
      <c r="I80" s="30"/>
      <c r="J80" s="46"/>
      <c r="K80" s="46"/>
      <c r="L80" s="30">
        <f t="shared" si="8"/>
        <v>0</v>
      </c>
      <c r="M80" s="30">
        <v>0</v>
      </c>
      <c r="N80" s="30">
        <f t="shared" si="3"/>
        <v>0</v>
      </c>
      <c r="O80" s="40">
        <f t="shared" si="9"/>
        <v>0</v>
      </c>
    </row>
    <row r="81" spans="1:15" ht="15.95" customHeight="1" x14ac:dyDescent="0.2">
      <c r="A81" s="43">
        <v>223</v>
      </c>
      <c r="B81" s="31" t="s">
        <v>199</v>
      </c>
      <c r="C81" s="30">
        <v>0</v>
      </c>
      <c r="D81" s="30">
        <v>1500</v>
      </c>
      <c r="E81" s="30"/>
      <c r="F81" s="46"/>
      <c r="G81" s="46"/>
      <c r="H81" s="30"/>
      <c r="I81" s="30"/>
      <c r="J81" s="46"/>
      <c r="K81" s="46"/>
      <c r="L81" s="30">
        <f t="shared" si="8"/>
        <v>1500</v>
      </c>
      <c r="M81" s="30">
        <v>100</v>
      </c>
      <c r="N81" s="30">
        <f t="shared" si="3"/>
        <v>1400</v>
      </c>
      <c r="O81" s="40">
        <f t="shared" si="9"/>
        <v>1.0546234073222313E-4</v>
      </c>
    </row>
    <row r="82" spans="1:15" ht="15.95" hidden="1" customHeight="1" x14ac:dyDescent="0.2">
      <c r="A82" s="43">
        <v>229</v>
      </c>
      <c r="B82" s="31" t="s">
        <v>200</v>
      </c>
      <c r="C82" s="30"/>
      <c r="D82" s="30"/>
      <c r="E82" s="30"/>
      <c r="F82" s="46"/>
      <c r="G82" s="46"/>
      <c r="H82" s="30"/>
      <c r="I82" s="30"/>
      <c r="J82" s="46"/>
      <c r="K82" s="46"/>
      <c r="L82" s="30">
        <f t="shared" si="8"/>
        <v>0</v>
      </c>
      <c r="M82" s="30">
        <v>0</v>
      </c>
      <c r="N82" s="30">
        <f t="shared" si="3"/>
        <v>0</v>
      </c>
      <c r="O82" s="40">
        <f t="shared" si="9"/>
        <v>0</v>
      </c>
    </row>
    <row r="83" spans="1:15" ht="15.95" customHeight="1" x14ac:dyDescent="0.2">
      <c r="A83" s="43" t="s">
        <v>127</v>
      </c>
      <c r="B83" s="31" t="s">
        <v>64</v>
      </c>
      <c r="C83" s="30">
        <v>2750</v>
      </c>
      <c r="D83" s="30"/>
      <c r="E83" s="30"/>
      <c r="F83" s="46"/>
      <c r="G83" s="46"/>
      <c r="H83" s="30"/>
      <c r="I83" s="30"/>
      <c r="J83" s="46"/>
      <c r="K83" s="46"/>
      <c r="L83" s="30">
        <f t="shared" si="8"/>
        <v>2750</v>
      </c>
      <c r="M83" s="30">
        <v>180</v>
      </c>
      <c r="N83" s="30">
        <f t="shared" si="3"/>
        <v>2570</v>
      </c>
      <c r="O83" s="40">
        <f t="shared" si="9"/>
        <v>1.8983221331800163E-4</v>
      </c>
    </row>
    <row r="84" spans="1:15" ht="15.95" customHeight="1" x14ac:dyDescent="0.2">
      <c r="A84" s="43" t="s">
        <v>128</v>
      </c>
      <c r="B84" s="31" t="s">
        <v>65</v>
      </c>
      <c r="C84" s="30">
        <v>16800</v>
      </c>
      <c r="D84" s="30"/>
      <c r="E84" s="30"/>
      <c r="F84" s="46"/>
      <c r="G84" s="46"/>
      <c r="H84" s="30"/>
      <c r="I84" s="30"/>
      <c r="J84" s="46"/>
      <c r="K84" s="46"/>
      <c r="L84" s="30">
        <f t="shared" si="8"/>
        <v>16800</v>
      </c>
      <c r="M84" s="30">
        <v>0</v>
      </c>
      <c r="N84" s="30">
        <f t="shared" si="3"/>
        <v>16800</v>
      </c>
      <c r="O84" s="40">
        <f t="shared" si="9"/>
        <v>0</v>
      </c>
    </row>
    <row r="85" spans="1:15" ht="15.95" customHeight="1" x14ac:dyDescent="0.2">
      <c r="A85" s="43" t="s">
        <v>129</v>
      </c>
      <c r="B85" s="31" t="s">
        <v>66</v>
      </c>
      <c r="C85" s="30">
        <v>5250</v>
      </c>
      <c r="D85" s="30"/>
      <c r="E85" s="30"/>
      <c r="F85" s="46"/>
      <c r="G85" s="46"/>
      <c r="H85" s="30"/>
      <c r="I85" s="30"/>
      <c r="J85" s="46"/>
      <c r="K85" s="46"/>
      <c r="L85" s="30">
        <f t="shared" si="8"/>
        <v>5250</v>
      </c>
      <c r="M85" s="30">
        <v>678.5</v>
      </c>
      <c r="N85" s="30">
        <f t="shared" si="3"/>
        <v>4571.5</v>
      </c>
      <c r="O85" s="40">
        <f t="shared" si="9"/>
        <v>7.1556198186813397E-4</v>
      </c>
    </row>
    <row r="86" spans="1:15" ht="15.95" customHeight="1" x14ac:dyDescent="0.2">
      <c r="A86" s="43" t="s">
        <v>130</v>
      </c>
      <c r="B86" s="31" t="s">
        <v>67</v>
      </c>
      <c r="C86" s="30">
        <v>1500</v>
      </c>
      <c r="D86" s="30"/>
      <c r="E86" s="30"/>
      <c r="F86" s="46"/>
      <c r="G86" s="46"/>
      <c r="H86" s="30"/>
      <c r="I86" s="30"/>
      <c r="J86" s="46"/>
      <c r="K86" s="46"/>
      <c r="L86" s="30">
        <f t="shared" si="8"/>
        <v>1500</v>
      </c>
      <c r="M86" s="30">
        <v>691.25</v>
      </c>
      <c r="N86" s="30">
        <f t="shared" si="3"/>
        <v>808.75</v>
      </c>
      <c r="O86" s="40">
        <f t="shared" si="9"/>
        <v>7.2900843031149234E-4</v>
      </c>
    </row>
    <row r="87" spans="1:15" ht="15.95" customHeight="1" x14ac:dyDescent="0.2">
      <c r="A87" s="43" t="s">
        <v>131</v>
      </c>
      <c r="B87" s="31" t="s">
        <v>201</v>
      </c>
      <c r="C87" s="30">
        <v>3050</v>
      </c>
      <c r="D87" s="30"/>
      <c r="E87" s="30"/>
      <c r="F87" s="46"/>
      <c r="G87" s="46"/>
      <c r="H87" s="30"/>
      <c r="I87" s="30"/>
      <c r="J87" s="46"/>
      <c r="K87" s="46"/>
      <c r="L87" s="30">
        <f t="shared" si="8"/>
        <v>3050</v>
      </c>
      <c r="M87" s="30">
        <v>722.5</v>
      </c>
      <c r="N87" s="30">
        <f t="shared" si="3"/>
        <v>2327.5</v>
      </c>
      <c r="O87" s="40">
        <f t="shared" si="9"/>
        <v>7.6196541179031211E-4</v>
      </c>
    </row>
    <row r="88" spans="1:15" ht="15.95" customHeight="1" x14ac:dyDescent="0.2">
      <c r="A88" s="43" t="s">
        <v>132</v>
      </c>
      <c r="B88" s="31" t="s">
        <v>68</v>
      </c>
      <c r="C88" s="30">
        <v>875</v>
      </c>
      <c r="D88" s="30"/>
      <c r="E88" s="30"/>
      <c r="F88" s="46"/>
      <c r="G88" s="46"/>
      <c r="H88" s="30"/>
      <c r="I88" s="30"/>
      <c r="J88" s="46"/>
      <c r="K88" s="46"/>
      <c r="L88" s="30">
        <f t="shared" si="8"/>
        <v>875</v>
      </c>
      <c r="M88" s="30">
        <v>10</v>
      </c>
      <c r="N88" s="30">
        <f t="shared" si="3"/>
        <v>865</v>
      </c>
      <c r="O88" s="40">
        <f t="shared" si="9"/>
        <v>1.0546234073222312E-5</v>
      </c>
    </row>
    <row r="89" spans="1:15" ht="15.95" customHeight="1" x14ac:dyDescent="0.2">
      <c r="A89" s="43" t="s">
        <v>133</v>
      </c>
      <c r="B89" s="31" t="s">
        <v>202</v>
      </c>
      <c r="C89" s="30">
        <v>5500</v>
      </c>
      <c r="D89" s="30"/>
      <c r="E89" s="30"/>
      <c r="F89" s="46"/>
      <c r="G89" s="46"/>
      <c r="H89" s="30"/>
      <c r="I89" s="30"/>
      <c r="J89" s="46"/>
      <c r="K89" s="46"/>
      <c r="L89" s="30">
        <f t="shared" si="8"/>
        <v>5500</v>
      </c>
      <c r="M89" s="30">
        <v>0</v>
      </c>
      <c r="N89" s="30">
        <f t="shared" si="3"/>
        <v>5500</v>
      </c>
      <c r="O89" s="40">
        <f t="shared" si="9"/>
        <v>0</v>
      </c>
    </row>
    <row r="90" spans="1:15" ht="15.95" customHeight="1" x14ac:dyDescent="0.2">
      <c r="A90" s="43" t="s">
        <v>134</v>
      </c>
      <c r="B90" s="31" t="s">
        <v>69</v>
      </c>
      <c r="C90" s="30">
        <v>2700</v>
      </c>
      <c r="D90" s="30"/>
      <c r="E90" s="30"/>
      <c r="F90" s="46"/>
      <c r="G90" s="46"/>
      <c r="H90" s="30"/>
      <c r="I90" s="30"/>
      <c r="J90" s="46"/>
      <c r="K90" s="46"/>
      <c r="L90" s="30">
        <f t="shared" si="8"/>
        <v>2700</v>
      </c>
      <c r="M90" s="30">
        <v>290</v>
      </c>
      <c r="N90" s="30">
        <f t="shared" si="3"/>
        <v>2410</v>
      </c>
      <c r="O90" s="40">
        <f t="shared" si="9"/>
        <v>3.0584078812344708E-4</v>
      </c>
    </row>
    <row r="91" spans="1:15" ht="15.95" customHeight="1" x14ac:dyDescent="0.2">
      <c r="A91" s="43" t="s">
        <v>203</v>
      </c>
      <c r="B91" s="31" t="s">
        <v>204</v>
      </c>
      <c r="C91" s="30">
        <v>2800</v>
      </c>
      <c r="D91" s="30"/>
      <c r="E91" s="30"/>
      <c r="F91" s="46"/>
      <c r="G91" s="46"/>
      <c r="H91" s="30"/>
      <c r="I91" s="30"/>
      <c r="J91" s="46"/>
      <c r="K91" s="46"/>
      <c r="L91" s="30">
        <f t="shared" si="8"/>
        <v>2800</v>
      </c>
      <c r="M91" s="30">
        <v>138</v>
      </c>
      <c r="N91" s="30">
        <f t="shared" si="3"/>
        <v>2662</v>
      </c>
      <c r="O91" s="40">
        <f t="shared" si="9"/>
        <v>1.4553803021046793E-4</v>
      </c>
    </row>
    <row r="92" spans="1:15" ht="15.95" customHeight="1" x14ac:dyDescent="0.2">
      <c r="A92" s="43" t="s">
        <v>135</v>
      </c>
      <c r="B92" s="31" t="s">
        <v>70</v>
      </c>
      <c r="C92" s="30">
        <v>8500</v>
      </c>
      <c r="D92" s="30"/>
      <c r="E92" s="30"/>
      <c r="F92" s="46"/>
      <c r="G92" s="46"/>
      <c r="H92" s="30"/>
      <c r="I92" s="30"/>
      <c r="J92" s="46"/>
      <c r="K92" s="46"/>
      <c r="L92" s="30">
        <f t="shared" si="8"/>
        <v>8500</v>
      </c>
      <c r="M92" s="30">
        <v>2130.8599999999997</v>
      </c>
      <c r="N92" s="30">
        <f t="shared" si="3"/>
        <v>6369.14</v>
      </c>
      <c r="O92" s="40">
        <f t="shared" si="9"/>
        <v>2.2472548337266495E-3</v>
      </c>
    </row>
    <row r="93" spans="1:15" ht="15.95" customHeight="1" x14ac:dyDescent="0.2">
      <c r="A93" s="43" t="s">
        <v>136</v>
      </c>
      <c r="B93" s="31" t="s">
        <v>205</v>
      </c>
      <c r="C93" s="30">
        <v>2000</v>
      </c>
      <c r="D93" s="30"/>
      <c r="E93" s="30"/>
      <c r="F93" s="46"/>
      <c r="G93" s="46"/>
      <c r="H93" s="30"/>
      <c r="I93" s="30"/>
      <c r="J93" s="46"/>
      <c r="K93" s="46"/>
      <c r="L93" s="30">
        <f t="shared" si="8"/>
        <v>2000</v>
      </c>
      <c r="M93" s="30">
        <v>924.11</v>
      </c>
      <c r="N93" s="30">
        <f t="shared" si="3"/>
        <v>1075.8899999999999</v>
      </c>
      <c r="O93" s="40">
        <f t="shared" si="9"/>
        <v>9.7458803694054717E-4</v>
      </c>
    </row>
    <row r="94" spans="1:15" ht="15.95" customHeight="1" x14ac:dyDescent="0.2">
      <c r="A94" s="43" t="s">
        <v>137</v>
      </c>
      <c r="B94" s="31" t="s">
        <v>71</v>
      </c>
      <c r="C94" s="30">
        <v>17500</v>
      </c>
      <c r="D94" s="30"/>
      <c r="E94" s="30"/>
      <c r="F94" s="46"/>
      <c r="G94" s="46"/>
      <c r="H94" s="30"/>
      <c r="I94" s="30"/>
      <c r="J94" s="46"/>
      <c r="K94" s="46"/>
      <c r="L94" s="30">
        <f t="shared" si="8"/>
        <v>17500</v>
      </c>
      <c r="M94" s="30">
        <v>1806.25</v>
      </c>
      <c r="N94" s="30">
        <f t="shared" si="3"/>
        <v>15693.75</v>
      </c>
      <c r="O94" s="40">
        <f t="shared" si="9"/>
        <v>1.9049135294757803E-3</v>
      </c>
    </row>
    <row r="95" spans="1:15" ht="15.95" customHeight="1" x14ac:dyDescent="0.2">
      <c r="A95" s="43" t="s">
        <v>138</v>
      </c>
      <c r="B95" s="31" t="s">
        <v>206</v>
      </c>
      <c r="C95" s="30">
        <v>3000</v>
      </c>
      <c r="D95" s="30"/>
      <c r="E95" s="30"/>
      <c r="F95" s="46"/>
      <c r="G95" s="46"/>
      <c r="H95" s="30"/>
      <c r="I95" s="30"/>
      <c r="J95" s="46"/>
      <c r="K95" s="46"/>
      <c r="L95" s="30">
        <f t="shared" si="8"/>
        <v>3000</v>
      </c>
      <c r="M95" s="30">
        <v>238.8</v>
      </c>
      <c r="N95" s="30">
        <f t="shared" si="3"/>
        <v>2761.2</v>
      </c>
      <c r="O95" s="40">
        <f t="shared" si="9"/>
        <v>2.5184406966854885E-4</v>
      </c>
    </row>
    <row r="96" spans="1:15" ht="15.95" customHeight="1" x14ac:dyDescent="0.2">
      <c r="A96" s="43" t="s">
        <v>139</v>
      </c>
      <c r="B96" s="31" t="s">
        <v>207</v>
      </c>
      <c r="C96" s="30">
        <v>1500</v>
      </c>
      <c r="D96" s="30"/>
      <c r="E96" s="30"/>
      <c r="F96" s="46"/>
      <c r="G96" s="46"/>
      <c r="H96" s="30"/>
      <c r="I96" s="30"/>
      <c r="J96" s="46"/>
      <c r="K96" s="46"/>
      <c r="L96" s="30">
        <f t="shared" si="8"/>
        <v>1500</v>
      </c>
      <c r="M96" s="30">
        <v>0</v>
      </c>
      <c r="N96" s="30">
        <f t="shared" ref="N96:N133" si="10">L96-M96</f>
        <v>1500</v>
      </c>
      <c r="O96" s="40">
        <f t="shared" si="9"/>
        <v>0</v>
      </c>
    </row>
    <row r="97" spans="1:15" ht="15.95" customHeight="1" x14ac:dyDescent="0.2">
      <c r="A97" s="43" t="s">
        <v>140</v>
      </c>
      <c r="B97" s="31" t="s">
        <v>72</v>
      </c>
      <c r="C97" s="30">
        <v>210345</v>
      </c>
      <c r="D97" s="30"/>
      <c r="E97" s="30"/>
      <c r="F97" s="46"/>
      <c r="G97" s="46"/>
      <c r="H97" s="30"/>
      <c r="I97" s="30"/>
      <c r="J97" s="46"/>
      <c r="K97" s="46"/>
      <c r="L97" s="30">
        <f t="shared" si="8"/>
        <v>210345</v>
      </c>
      <c r="M97" s="30">
        <v>0</v>
      </c>
      <c r="N97" s="30">
        <f t="shared" si="10"/>
        <v>210345</v>
      </c>
      <c r="O97" s="40">
        <f t="shared" si="9"/>
        <v>0</v>
      </c>
    </row>
    <row r="98" spans="1:15" ht="15.95" hidden="1" customHeight="1" x14ac:dyDescent="0.2">
      <c r="A98" s="43">
        <v>272</v>
      </c>
      <c r="B98" s="31" t="s">
        <v>208</v>
      </c>
      <c r="C98" s="30"/>
      <c r="D98" s="30"/>
      <c r="E98" s="30"/>
      <c r="F98" s="46"/>
      <c r="G98" s="46"/>
      <c r="H98" s="30"/>
      <c r="I98" s="30"/>
      <c r="J98" s="46"/>
      <c r="K98" s="46"/>
      <c r="L98" s="30">
        <f t="shared" si="8"/>
        <v>0</v>
      </c>
      <c r="M98" s="30">
        <v>0</v>
      </c>
      <c r="N98" s="30">
        <f t="shared" si="10"/>
        <v>0</v>
      </c>
      <c r="O98" s="40">
        <f t="shared" si="9"/>
        <v>0</v>
      </c>
    </row>
    <row r="99" spans="1:15" ht="15.95" hidden="1" customHeight="1" x14ac:dyDescent="0.2">
      <c r="A99" s="43" t="s">
        <v>141</v>
      </c>
      <c r="B99" s="31" t="s">
        <v>209</v>
      </c>
      <c r="C99" s="30"/>
      <c r="D99" s="30"/>
      <c r="E99" s="30"/>
      <c r="F99" s="46"/>
      <c r="G99" s="46"/>
      <c r="H99" s="30"/>
      <c r="I99" s="30"/>
      <c r="J99" s="46"/>
      <c r="K99" s="46"/>
      <c r="L99" s="30">
        <f t="shared" si="8"/>
        <v>0</v>
      </c>
      <c r="M99" s="30">
        <v>0</v>
      </c>
      <c r="N99" s="30">
        <f t="shared" si="10"/>
        <v>0</v>
      </c>
      <c r="O99" s="40">
        <f t="shared" si="9"/>
        <v>0</v>
      </c>
    </row>
    <row r="100" spans="1:15" ht="15.95" customHeight="1" x14ac:dyDescent="0.2">
      <c r="A100" s="43">
        <v>274</v>
      </c>
      <c r="B100" s="31" t="s">
        <v>73</v>
      </c>
      <c r="C100" s="30">
        <v>1500</v>
      </c>
      <c r="D100" s="30"/>
      <c r="E100" s="30"/>
      <c r="F100" s="46"/>
      <c r="G100" s="46"/>
      <c r="H100" s="30"/>
      <c r="I100" s="30"/>
      <c r="J100" s="46"/>
      <c r="K100" s="46"/>
      <c r="L100" s="30">
        <f t="shared" si="8"/>
        <v>1500</v>
      </c>
      <c r="M100" s="30">
        <v>237</v>
      </c>
      <c r="N100" s="30">
        <f t="shared" si="10"/>
        <v>1263</v>
      </c>
      <c r="O100" s="40">
        <f t="shared" si="9"/>
        <v>2.4994574753536884E-4</v>
      </c>
    </row>
    <row r="101" spans="1:15" ht="15.95" hidden="1" customHeight="1" x14ac:dyDescent="0.2">
      <c r="A101" s="43">
        <v>275</v>
      </c>
      <c r="B101" s="31" t="s">
        <v>210</v>
      </c>
      <c r="C101" s="30"/>
      <c r="D101" s="30"/>
      <c r="E101" s="30"/>
      <c r="F101" s="46"/>
      <c r="G101" s="46"/>
      <c r="H101" s="30"/>
      <c r="I101" s="30"/>
      <c r="J101" s="46"/>
      <c r="K101" s="46"/>
      <c r="L101" s="30">
        <f t="shared" si="8"/>
        <v>0</v>
      </c>
      <c r="M101" s="30">
        <v>0</v>
      </c>
      <c r="N101" s="30">
        <f t="shared" si="10"/>
        <v>0</v>
      </c>
      <c r="O101" s="40">
        <f t="shared" si="9"/>
        <v>0</v>
      </c>
    </row>
    <row r="102" spans="1:15" ht="15.95" customHeight="1" x14ac:dyDescent="0.2">
      <c r="A102" s="43">
        <v>279</v>
      </c>
      <c r="B102" s="31" t="s">
        <v>211</v>
      </c>
      <c r="C102" s="30">
        <v>750</v>
      </c>
      <c r="D102" s="30"/>
      <c r="E102" s="30"/>
      <c r="F102" s="46"/>
      <c r="G102" s="46"/>
      <c r="H102" s="30"/>
      <c r="I102" s="30"/>
      <c r="J102" s="46"/>
      <c r="K102" s="46"/>
      <c r="L102" s="30">
        <f t="shared" si="8"/>
        <v>750</v>
      </c>
      <c r="M102" s="30">
        <v>0</v>
      </c>
      <c r="N102" s="30">
        <f t="shared" si="10"/>
        <v>750</v>
      </c>
      <c r="O102" s="40">
        <f t="shared" si="9"/>
        <v>0</v>
      </c>
    </row>
    <row r="103" spans="1:15" ht="15.95" hidden="1" customHeight="1" x14ac:dyDescent="0.2">
      <c r="A103" s="43">
        <v>281</v>
      </c>
      <c r="B103" s="31" t="s">
        <v>212</v>
      </c>
      <c r="C103" s="30"/>
      <c r="D103" s="30"/>
      <c r="E103" s="30"/>
      <c r="F103" s="46"/>
      <c r="G103" s="46"/>
      <c r="H103" s="30"/>
      <c r="I103" s="30"/>
      <c r="J103" s="46"/>
      <c r="K103" s="46"/>
      <c r="L103" s="30">
        <f t="shared" si="8"/>
        <v>0</v>
      </c>
      <c r="M103" s="30">
        <v>0</v>
      </c>
      <c r="N103" s="30">
        <f t="shared" si="10"/>
        <v>0</v>
      </c>
      <c r="O103" s="40">
        <f t="shared" si="9"/>
        <v>0</v>
      </c>
    </row>
    <row r="104" spans="1:15" ht="15.95" customHeight="1" x14ac:dyDescent="0.2">
      <c r="A104" s="43" t="s">
        <v>142</v>
      </c>
      <c r="B104" s="31" t="s">
        <v>213</v>
      </c>
      <c r="C104" s="30">
        <v>1800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8"/>
        <v>1800</v>
      </c>
      <c r="M104" s="30">
        <v>145.4</v>
      </c>
      <c r="N104" s="30">
        <f t="shared" si="10"/>
        <v>1654.6</v>
      </c>
      <c r="O104" s="40">
        <f t="shared" si="9"/>
        <v>1.5334224342465245E-4</v>
      </c>
    </row>
    <row r="105" spans="1:15" ht="15.95" customHeight="1" x14ac:dyDescent="0.2">
      <c r="A105" s="43" t="s">
        <v>143</v>
      </c>
      <c r="B105" s="31" t="s">
        <v>74</v>
      </c>
      <c r="C105" s="30">
        <v>8800</v>
      </c>
      <c r="D105" s="30">
        <v>15000</v>
      </c>
      <c r="E105" s="30"/>
      <c r="F105" s="46"/>
      <c r="G105" s="46"/>
      <c r="H105" s="30"/>
      <c r="I105" s="30"/>
      <c r="J105" s="46"/>
      <c r="K105" s="46"/>
      <c r="L105" s="30">
        <f t="shared" si="8"/>
        <v>23800</v>
      </c>
      <c r="M105" s="30">
        <v>0</v>
      </c>
      <c r="N105" s="30">
        <f t="shared" si="10"/>
        <v>23800</v>
      </c>
      <c r="O105" s="40">
        <f t="shared" si="9"/>
        <v>0</v>
      </c>
    </row>
    <row r="106" spans="1:15" ht="15.95" customHeight="1" x14ac:dyDescent="0.2">
      <c r="A106" s="43" t="s">
        <v>144</v>
      </c>
      <c r="B106" s="31" t="s">
        <v>75</v>
      </c>
      <c r="C106" s="30">
        <v>800821.67999999993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8"/>
        <v>800821.67999999993</v>
      </c>
      <c r="M106" s="30">
        <v>0</v>
      </c>
      <c r="N106" s="30">
        <f t="shared" si="10"/>
        <v>800821.67999999993</v>
      </c>
      <c r="O106" s="40">
        <f t="shared" si="9"/>
        <v>0</v>
      </c>
    </row>
    <row r="107" spans="1:15" ht="15.95" customHeight="1" x14ac:dyDescent="0.2">
      <c r="A107" s="43">
        <v>286</v>
      </c>
      <c r="B107" s="31" t="s">
        <v>214</v>
      </c>
      <c r="C107" s="30">
        <v>1500</v>
      </c>
      <c r="D107" s="30"/>
      <c r="E107" s="30"/>
      <c r="F107" s="46"/>
      <c r="G107" s="46"/>
      <c r="H107" s="30"/>
      <c r="I107" s="30"/>
      <c r="J107" s="46"/>
      <c r="K107" s="46"/>
      <c r="L107" s="30">
        <f t="shared" si="8"/>
        <v>1500</v>
      </c>
      <c r="M107" s="30">
        <v>0</v>
      </c>
      <c r="N107" s="30">
        <f t="shared" si="10"/>
        <v>1500</v>
      </c>
      <c r="O107" s="40">
        <f t="shared" si="9"/>
        <v>0</v>
      </c>
    </row>
    <row r="108" spans="1:15" ht="15.95" hidden="1" customHeight="1" x14ac:dyDescent="0.2">
      <c r="A108" s="43">
        <v>289</v>
      </c>
      <c r="B108" s="31" t="s">
        <v>215</v>
      </c>
      <c r="C108" s="30"/>
      <c r="D108" s="30"/>
      <c r="E108" s="30"/>
      <c r="F108" s="46"/>
      <c r="G108" s="46"/>
      <c r="H108" s="30"/>
      <c r="I108" s="30"/>
      <c r="J108" s="46"/>
      <c r="K108" s="46"/>
      <c r="L108" s="30">
        <f t="shared" si="8"/>
        <v>0</v>
      </c>
      <c r="M108" s="30">
        <v>0</v>
      </c>
      <c r="N108" s="30">
        <f t="shared" si="10"/>
        <v>0</v>
      </c>
      <c r="O108" s="40">
        <f t="shared" si="9"/>
        <v>0</v>
      </c>
    </row>
    <row r="109" spans="1:15" ht="15.95" customHeight="1" x14ac:dyDescent="0.2">
      <c r="A109" s="43" t="s">
        <v>145</v>
      </c>
      <c r="B109" s="31" t="s">
        <v>76</v>
      </c>
      <c r="C109" s="30">
        <v>6600</v>
      </c>
      <c r="D109" s="30"/>
      <c r="E109" s="30"/>
      <c r="F109" s="46"/>
      <c r="G109" s="46"/>
      <c r="H109" s="30"/>
      <c r="I109" s="30"/>
      <c r="J109" s="46"/>
      <c r="K109" s="46"/>
      <c r="L109" s="30">
        <f t="shared" si="8"/>
        <v>6600</v>
      </c>
      <c r="M109" s="30">
        <v>1050.6300000000001</v>
      </c>
      <c r="N109" s="30">
        <f t="shared" si="10"/>
        <v>5549.37</v>
      </c>
      <c r="O109" s="40">
        <f t="shared" si="9"/>
        <v>1.1080189904349559E-3</v>
      </c>
    </row>
    <row r="110" spans="1:15" ht="15.95" customHeight="1" x14ac:dyDescent="0.2">
      <c r="A110" s="43" t="s">
        <v>146</v>
      </c>
      <c r="B110" s="31" t="s">
        <v>216</v>
      </c>
      <c r="C110" s="30">
        <v>2000</v>
      </c>
      <c r="D110" s="30"/>
      <c r="E110" s="30"/>
      <c r="F110" s="46"/>
      <c r="G110" s="46"/>
      <c r="H110" s="30"/>
      <c r="I110" s="30"/>
      <c r="J110" s="46"/>
      <c r="K110" s="46"/>
      <c r="L110" s="30">
        <f t="shared" si="8"/>
        <v>2000</v>
      </c>
      <c r="M110" s="30">
        <v>415.3</v>
      </c>
      <c r="N110" s="30">
        <f t="shared" si="10"/>
        <v>1584.7</v>
      </c>
      <c r="O110" s="40">
        <f t="shared" si="9"/>
        <v>4.3798510106092265E-4</v>
      </c>
    </row>
    <row r="111" spans="1:15" ht="15.95" customHeight="1" x14ac:dyDescent="0.2">
      <c r="A111" s="43" t="s">
        <v>147</v>
      </c>
      <c r="B111" s="31" t="s">
        <v>77</v>
      </c>
      <c r="C111" s="30">
        <v>115251.9</v>
      </c>
      <c r="D111" s="30">
        <f>4500+21000+10000</f>
        <v>35500</v>
      </c>
      <c r="E111" s="30"/>
      <c r="F111" s="46"/>
      <c r="G111" s="46"/>
      <c r="H111" s="30"/>
      <c r="I111" s="30"/>
      <c r="J111" s="46"/>
      <c r="K111" s="46"/>
      <c r="L111" s="30">
        <f t="shared" si="8"/>
        <v>150751.9</v>
      </c>
      <c r="M111" s="30">
        <v>75.989999999999995</v>
      </c>
      <c r="N111" s="30">
        <f t="shared" si="10"/>
        <v>150675.91</v>
      </c>
      <c r="O111" s="40">
        <f t="shared" si="9"/>
        <v>8.0140832722416346E-5</v>
      </c>
    </row>
    <row r="112" spans="1:15" ht="15.95" customHeight="1" x14ac:dyDescent="0.2">
      <c r="A112" s="43" t="s">
        <v>148</v>
      </c>
      <c r="B112" s="31" t="s">
        <v>78</v>
      </c>
      <c r="C112" s="30">
        <v>2000</v>
      </c>
      <c r="D112" s="30"/>
      <c r="E112" s="30"/>
      <c r="F112" s="46"/>
      <c r="G112" s="46"/>
      <c r="H112" s="30"/>
      <c r="I112" s="30"/>
      <c r="J112" s="46"/>
      <c r="K112" s="46"/>
      <c r="L112" s="30">
        <f t="shared" si="8"/>
        <v>2000</v>
      </c>
      <c r="M112" s="30">
        <v>0</v>
      </c>
      <c r="N112" s="30">
        <f t="shared" si="10"/>
        <v>2000</v>
      </c>
      <c r="O112" s="40">
        <f t="shared" si="9"/>
        <v>0</v>
      </c>
    </row>
    <row r="113" spans="1:15" ht="15.95" customHeight="1" x14ac:dyDescent="0.2">
      <c r="A113" s="43" t="s">
        <v>149</v>
      </c>
      <c r="B113" s="31" t="s">
        <v>217</v>
      </c>
      <c r="C113" s="30">
        <v>9500</v>
      </c>
      <c r="D113" s="30">
        <v>20000</v>
      </c>
      <c r="E113" s="30"/>
      <c r="F113" s="46"/>
      <c r="G113" s="46"/>
      <c r="H113" s="30"/>
      <c r="I113" s="30"/>
      <c r="J113" s="46"/>
      <c r="K113" s="46"/>
      <c r="L113" s="30">
        <f t="shared" si="8"/>
        <v>29500</v>
      </c>
      <c r="M113" s="30">
        <v>0</v>
      </c>
      <c r="N113" s="30">
        <f t="shared" si="10"/>
        <v>29500</v>
      </c>
      <c r="O113" s="40">
        <f t="shared" si="9"/>
        <v>0</v>
      </c>
    </row>
    <row r="114" spans="1:15" ht="15.95" customHeight="1" x14ac:dyDescent="0.2">
      <c r="A114" s="43" t="s">
        <v>150</v>
      </c>
      <c r="B114" s="31" t="s">
        <v>79</v>
      </c>
      <c r="C114" s="30">
        <v>101000</v>
      </c>
      <c r="D114" s="30"/>
      <c r="E114" s="30"/>
      <c r="F114" s="46"/>
      <c r="G114" s="46"/>
      <c r="H114" s="30"/>
      <c r="I114" s="30"/>
      <c r="J114" s="46"/>
      <c r="K114" s="46"/>
      <c r="L114" s="30">
        <f t="shared" si="8"/>
        <v>101000</v>
      </c>
      <c r="M114" s="30">
        <v>5316.97</v>
      </c>
      <c r="N114" s="30">
        <f t="shared" si="10"/>
        <v>95683.03</v>
      </c>
      <c r="O114" s="40">
        <f t="shared" si="9"/>
        <v>5.6074010180300841E-3</v>
      </c>
    </row>
    <row r="115" spans="1:15" ht="15.95" customHeight="1" x14ac:dyDescent="0.2">
      <c r="A115" s="43" t="s">
        <v>151</v>
      </c>
      <c r="B115" s="31" t="s">
        <v>80</v>
      </c>
      <c r="C115" s="30">
        <v>11500</v>
      </c>
      <c r="D115" s="30"/>
      <c r="E115" s="30"/>
      <c r="F115" s="46"/>
      <c r="G115" s="46"/>
      <c r="H115" s="30"/>
      <c r="I115" s="30"/>
      <c r="J115" s="46"/>
      <c r="K115" s="46"/>
      <c r="L115" s="30">
        <f t="shared" si="8"/>
        <v>11500</v>
      </c>
      <c r="M115" s="30">
        <v>1302.3499999999999</v>
      </c>
      <c r="N115" s="30">
        <f t="shared" si="10"/>
        <v>10197.65</v>
      </c>
      <c r="O115" s="40">
        <f t="shared" si="9"/>
        <v>1.3734887945261078E-3</v>
      </c>
    </row>
    <row r="116" spans="1:15" ht="15.95" customHeight="1" x14ac:dyDescent="0.2">
      <c r="A116" s="43"/>
      <c r="B116" s="31"/>
      <c r="C116" s="30"/>
      <c r="D116" s="30"/>
      <c r="E116" s="30"/>
      <c r="F116" s="46"/>
      <c r="G116" s="46"/>
      <c r="H116" s="30"/>
      <c r="I116" s="30"/>
      <c r="J116" s="46"/>
      <c r="K116" s="46"/>
      <c r="L116" s="30"/>
      <c r="M116" s="30"/>
      <c r="N116" s="30"/>
      <c r="O116" s="40"/>
    </row>
    <row r="117" spans="1:15" ht="15.95" customHeight="1" x14ac:dyDescent="0.2">
      <c r="A117" s="43"/>
      <c r="B117" s="31"/>
      <c r="C117" s="30"/>
      <c r="D117" s="30"/>
      <c r="E117" s="30"/>
      <c r="F117" s="46"/>
      <c r="G117" s="46"/>
      <c r="H117" s="30"/>
      <c r="I117" s="30"/>
      <c r="J117" s="46"/>
      <c r="K117" s="46"/>
      <c r="L117" s="30"/>
      <c r="M117" s="30"/>
      <c r="N117" s="30"/>
      <c r="O117" s="40"/>
    </row>
    <row r="118" spans="1:15" ht="15.95" customHeight="1" x14ac:dyDescent="0.2">
      <c r="A118" s="43"/>
      <c r="B118" s="31"/>
      <c r="C118" s="30"/>
      <c r="D118" s="30"/>
      <c r="E118" s="30"/>
      <c r="F118" s="46"/>
      <c r="G118" s="46"/>
      <c r="H118" s="30"/>
      <c r="I118" s="30"/>
      <c r="J118" s="46"/>
      <c r="K118" s="46"/>
      <c r="L118" s="30"/>
      <c r="M118" s="30"/>
      <c r="N118" s="30"/>
      <c r="O118" s="40"/>
    </row>
    <row r="119" spans="1:15" ht="15.95" customHeight="1" x14ac:dyDescent="0.25">
      <c r="A119" s="41">
        <v>3</v>
      </c>
      <c r="B119" s="42" t="s">
        <v>81</v>
      </c>
      <c r="C119" s="28"/>
      <c r="D119" s="30"/>
      <c r="E119" s="30"/>
      <c r="F119" s="46"/>
      <c r="G119" s="46"/>
      <c r="H119" s="30"/>
      <c r="I119" s="30"/>
      <c r="J119" s="46"/>
      <c r="K119" s="46"/>
      <c r="L119" s="30"/>
      <c r="M119" s="30"/>
      <c r="N119" s="30"/>
      <c r="O119" s="40"/>
    </row>
    <row r="120" spans="1:15" ht="15.95" customHeight="1" x14ac:dyDescent="0.2">
      <c r="A120" s="44" t="s">
        <v>218</v>
      </c>
      <c r="B120" s="45" t="s">
        <v>219</v>
      </c>
      <c r="C120" s="46">
        <v>10000</v>
      </c>
      <c r="D120" s="30"/>
      <c r="E120" s="30"/>
      <c r="F120" s="46"/>
      <c r="G120" s="46"/>
      <c r="H120" s="30"/>
      <c r="I120" s="30"/>
      <c r="J120" s="46"/>
      <c r="K120" s="46"/>
      <c r="L120" s="30">
        <f t="shared" ref="L120:L133" si="11">C120+D120-E120+F120-G120+J120-K120</f>
        <v>10000</v>
      </c>
      <c r="M120" s="30">
        <v>1299</v>
      </c>
      <c r="N120" s="30">
        <f t="shared" si="10"/>
        <v>8701</v>
      </c>
      <c r="O120" s="40">
        <f>M120/$M$134</f>
        <v>1.3699558061115785E-3</v>
      </c>
    </row>
    <row r="121" spans="1:15" ht="15.95" hidden="1" customHeight="1" x14ac:dyDescent="0.2">
      <c r="A121" s="44" t="s">
        <v>82</v>
      </c>
      <c r="B121" s="45" t="s">
        <v>220</v>
      </c>
      <c r="C121" s="46">
        <v>0</v>
      </c>
      <c r="D121" s="30"/>
      <c r="E121" s="30"/>
      <c r="F121" s="46"/>
      <c r="G121" s="46"/>
      <c r="H121" s="30"/>
      <c r="I121" s="30"/>
      <c r="J121" s="46"/>
      <c r="K121" s="46"/>
      <c r="L121" s="30">
        <f t="shared" si="11"/>
        <v>0</v>
      </c>
      <c r="M121" s="30">
        <v>0</v>
      </c>
      <c r="N121" s="30">
        <f t="shared" si="10"/>
        <v>0</v>
      </c>
      <c r="O121" s="40">
        <f>M121/$M$134</f>
        <v>0</v>
      </c>
    </row>
    <row r="122" spans="1:15" ht="15.95" customHeight="1" x14ac:dyDescent="0.2">
      <c r="A122" s="44" t="s">
        <v>221</v>
      </c>
      <c r="B122" s="45" t="s">
        <v>222</v>
      </c>
      <c r="C122" s="46">
        <v>54035</v>
      </c>
      <c r="D122" s="30"/>
      <c r="E122" s="30"/>
      <c r="F122" s="46"/>
      <c r="G122" s="46"/>
      <c r="H122" s="30"/>
      <c r="I122" s="30"/>
      <c r="J122" s="46"/>
      <c r="K122" s="46"/>
      <c r="L122" s="30">
        <f t="shared" si="11"/>
        <v>54035</v>
      </c>
      <c r="M122" s="30">
        <v>35512.159999999996</v>
      </c>
      <c r="N122" s="30">
        <f t="shared" si="10"/>
        <v>18522.840000000004</v>
      </c>
      <c r="O122" s="40">
        <f>M122/$M$134</f>
        <v>3.7451955180572247E-2</v>
      </c>
    </row>
    <row r="123" spans="1:15" ht="15.95" customHeight="1" x14ac:dyDescent="0.2">
      <c r="A123" s="44" t="s">
        <v>223</v>
      </c>
      <c r="B123" s="45" t="s">
        <v>224</v>
      </c>
      <c r="C123" s="46">
        <v>1500</v>
      </c>
      <c r="D123" s="30"/>
      <c r="E123" s="30"/>
      <c r="F123" s="46"/>
      <c r="G123" s="46"/>
      <c r="H123" s="30"/>
      <c r="I123" s="30"/>
      <c r="J123" s="46"/>
      <c r="K123" s="46"/>
      <c r="L123" s="30">
        <f t="shared" si="11"/>
        <v>1500</v>
      </c>
      <c r="M123" s="30">
        <v>0</v>
      </c>
      <c r="N123" s="30">
        <f t="shared" si="10"/>
        <v>1500</v>
      </c>
      <c r="O123" s="40">
        <f>M123/$M$134</f>
        <v>0</v>
      </c>
    </row>
    <row r="124" spans="1:15" ht="15.95" customHeight="1" x14ac:dyDescent="0.2">
      <c r="A124" s="44">
        <v>328</v>
      </c>
      <c r="B124" s="45" t="s">
        <v>254</v>
      </c>
      <c r="C124" s="46">
        <v>0</v>
      </c>
      <c r="D124" s="30">
        <v>3000</v>
      </c>
      <c r="E124" s="30"/>
      <c r="F124" s="46"/>
      <c r="G124" s="46"/>
      <c r="H124" s="30"/>
      <c r="I124" s="30"/>
      <c r="J124" s="46"/>
      <c r="K124" s="46"/>
      <c r="L124" s="30">
        <f t="shared" si="11"/>
        <v>3000</v>
      </c>
      <c r="M124" s="30"/>
      <c r="N124" s="30"/>
      <c r="O124" s="40"/>
    </row>
    <row r="125" spans="1:15" ht="15.95" customHeight="1" x14ac:dyDescent="0.2">
      <c r="A125" s="44" t="s">
        <v>225</v>
      </c>
      <c r="B125" s="45" t="s">
        <v>226</v>
      </c>
      <c r="C125" s="46">
        <v>14300</v>
      </c>
      <c r="D125" s="30">
        <f>3000+16000</f>
        <v>19000</v>
      </c>
      <c r="E125" s="30"/>
      <c r="F125" s="46"/>
      <c r="G125" s="46"/>
      <c r="H125" s="30"/>
      <c r="I125" s="30"/>
      <c r="J125" s="46"/>
      <c r="K125" s="46"/>
      <c r="L125" s="30">
        <f t="shared" si="11"/>
        <v>33300</v>
      </c>
      <c r="M125" s="30">
        <v>3950</v>
      </c>
      <c r="N125" s="30">
        <f t="shared" si="10"/>
        <v>29350</v>
      </c>
      <c r="O125" s="40">
        <f>M125/$M$134</f>
        <v>4.1657624589228138E-3</v>
      </c>
    </row>
    <row r="126" spans="1:15" ht="15.95" hidden="1" customHeight="1" x14ac:dyDescent="0.2">
      <c r="A126" s="44" t="s">
        <v>227</v>
      </c>
      <c r="B126" s="45" t="s">
        <v>228</v>
      </c>
      <c r="C126" s="46">
        <v>0</v>
      </c>
      <c r="D126" s="30"/>
      <c r="E126" s="30"/>
      <c r="F126" s="46"/>
      <c r="G126" s="46"/>
      <c r="H126" s="30"/>
      <c r="I126" s="30"/>
      <c r="J126" s="46"/>
      <c r="K126" s="46"/>
      <c r="L126" s="30">
        <f t="shared" si="11"/>
        <v>0</v>
      </c>
      <c r="M126" s="30">
        <v>0</v>
      </c>
      <c r="N126" s="30">
        <f t="shared" si="10"/>
        <v>0</v>
      </c>
      <c r="O126" s="40">
        <f>M126/$M$134</f>
        <v>0</v>
      </c>
    </row>
    <row r="127" spans="1:15" ht="15.95" customHeight="1" x14ac:dyDescent="0.2">
      <c r="A127" s="44"/>
      <c r="B127" s="45"/>
      <c r="C127" s="46"/>
      <c r="D127" s="30"/>
      <c r="E127" s="30"/>
      <c r="F127" s="46"/>
      <c r="G127" s="46"/>
      <c r="H127" s="30"/>
      <c r="I127" s="30"/>
      <c r="J127" s="46"/>
      <c r="K127" s="46"/>
      <c r="L127" s="30"/>
      <c r="M127" s="30"/>
      <c r="N127" s="30"/>
      <c r="O127" s="40"/>
    </row>
    <row r="128" spans="1:15" ht="15.95" customHeight="1" x14ac:dyDescent="0.2">
      <c r="A128" s="43"/>
      <c r="B128" s="31"/>
      <c r="C128" s="30"/>
      <c r="D128" s="30"/>
      <c r="E128" s="30"/>
      <c r="F128" s="46"/>
      <c r="G128" s="46"/>
      <c r="H128" s="30"/>
      <c r="I128" s="30"/>
      <c r="J128" s="46"/>
      <c r="K128" s="46"/>
      <c r="L128" s="30"/>
      <c r="M128" s="30"/>
      <c r="N128" s="30"/>
      <c r="O128" s="40"/>
    </row>
    <row r="129" spans="1:15" ht="15.95" customHeight="1" x14ac:dyDescent="0.25">
      <c r="A129" s="41">
        <v>4</v>
      </c>
      <c r="B129" s="42" t="s">
        <v>83</v>
      </c>
      <c r="C129" s="28"/>
      <c r="D129" s="30"/>
      <c r="E129" s="30"/>
      <c r="F129" s="46"/>
      <c r="G129" s="46"/>
      <c r="H129" s="30"/>
      <c r="I129" s="30"/>
      <c r="J129" s="46"/>
      <c r="K129" s="46"/>
      <c r="L129" s="30"/>
      <c r="M129" s="30"/>
      <c r="N129" s="30"/>
      <c r="O129" s="40"/>
    </row>
    <row r="130" spans="1:15" ht="15.95" customHeight="1" x14ac:dyDescent="0.2">
      <c r="A130" s="43" t="s">
        <v>229</v>
      </c>
      <c r="B130" s="31" t="s">
        <v>84</v>
      </c>
      <c r="C130" s="30">
        <v>140900</v>
      </c>
      <c r="D130" s="30"/>
      <c r="E130" s="30"/>
      <c r="F130" s="46"/>
      <c r="G130" s="46"/>
      <c r="H130" s="30"/>
      <c r="I130" s="30"/>
      <c r="J130" s="46"/>
      <c r="K130" s="46"/>
      <c r="L130" s="30">
        <f t="shared" si="11"/>
        <v>140900</v>
      </c>
      <c r="M130" s="30">
        <v>0</v>
      </c>
      <c r="N130" s="30">
        <f t="shared" si="10"/>
        <v>140900</v>
      </c>
      <c r="O130" s="40">
        <f>M130/$M$134</f>
        <v>0</v>
      </c>
    </row>
    <row r="131" spans="1:15" ht="15.95" customHeight="1" x14ac:dyDescent="0.2">
      <c r="A131" s="43" t="s">
        <v>230</v>
      </c>
      <c r="B131" s="31" t="s">
        <v>231</v>
      </c>
      <c r="C131" s="30">
        <v>7170</v>
      </c>
      <c r="D131" s="30"/>
      <c r="E131" s="30"/>
      <c r="F131" s="30"/>
      <c r="G131" s="30"/>
      <c r="H131" s="30"/>
      <c r="I131" s="30"/>
      <c r="J131" s="46"/>
      <c r="K131" s="46"/>
      <c r="L131" s="30">
        <f t="shared" si="11"/>
        <v>7170</v>
      </c>
      <c r="M131" s="30">
        <v>0</v>
      </c>
      <c r="N131" s="30">
        <f t="shared" si="10"/>
        <v>7170</v>
      </c>
      <c r="O131" s="40">
        <f>M131/$M$134</f>
        <v>0</v>
      </c>
    </row>
    <row r="132" spans="1:15" ht="15.95" customHeight="1" x14ac:dyDescent="0.2">
      <c r="A132" s="43" t="s">
        <v>232</v>
      </c>
      <c r="B132" s="31" t="s">
        <v>233</v>
      </c>
      <c r="C132" s="30">
        <v>163700</v>
      </c>
      <c r="D132" s="30"/>
      <c r="E132" s="30"/>
      <c r="F132" s="30"/>
      <c r="G132" s="30"/>
      <c r="H132" s="30"/>
      <c r="I132" s="30"/>
      <c r="J132" s="46"/>
      <c r="K132" s="46"/>
      <c r="L132" s="30">
        <f t="shared" si="11"/>
        <v>163700</v>
      </c>
      <c r="M132" s="30">
        <v>4800</v>
      </c>
      <c r="N132" s="30">
        <f t="shared" si="10"/>
        <v>158900</v>
      </c>
      <c r="O132" s="40">
        <f>M132/$M$134</f>
        <v>5.0621923551467107E-3</v>
      </c>
    </row>
    <row r="133" spans="1:15" ht="15.95" customHeight="1" thickBot="1" x14ac:dyDescent="0.25">
      <c r="A133" s="43" t="s">
        <v>234</v>
      </c>
      <c r="B133" s="31" t="s">
        <v>235</v>
      </c>
      <c r="C133" s="30">
        <v>8750</v>
      </c>
      <c r="D133" s="30"/>
      <c r="E133" s="30"/>
      <c r="F133" s="30"/>
      <c r="G133" s="30"/>
      <c r="H133" s="30"/>
      <c r="I133" s="30"/>
      <c r="J133" s="46"/>
      <c r="K133" s="46"/>
      <c r="L133" s="30">
        <f t="shared" si="11"/>
        <v>8750</v>
      </c>
      <c r="M133" s="30">
        <v>0</v>
      </c>
      <c r="N133" s="30">
        <f t="shared" si="10"/>
        <v>8750</v>
      </c>
      <c r="O133" s="40">
        <f>M133/$M$134</f>
        <v>0</v>
      </c>
    </row>
    <row r="134" spans="1:15" ht="18" customHeight="1" thickBot="1" x14ac:dyDescent="0.3">
      <c r="A134" s="34"/>
      <c r="B134" s="35" t="s">
        <v>94</v>
      </c>
      <c r="C134" s="36">
        <f t="shared" ref="C134:N134" si="12">SUM(C31:C133)</f>
        <v>6416776.6099999994</v>
      </c>
      <c r="D134" s="36">
        <f t="shared" si="12"/>
        <v>129000</v>
      </c>
      <c r="E134" s="36">
        <f t="shared" si="12"/>
        <v>129000</v>
      </c>
      <c r="F134" s="36">
        <f t="shared" si="12"/>
        <v>0</v>
      </c>
      <c r="G134" s="36">
        <f t="shared" si="12"/>
        <v>0</v>
      </c>
      <c r="H134" s="36">
        <f t="shared" si="12"/>
        <v>0</v>
      </c>
      <c r="I134" s="36">
        <f t="shared" si="12"/>
        <v>0</v>
      </c>
      <c r="J134" s="71">
        <f t="shared" si="12"/>
        <v>0</v>
      </c>
      <c r="K134" s="71">
        <f t="shared" si="12"/>
        <v>0</v>
      </c>
      <c r="L134" s="36">
        <f t="shared" si="12"/>
        <v>6416776.6099999994</v>
      </c>
      <c r="M134" s="36">
        <f t="shared" si="12"/>
        <v>948205.77</v>
      </c>
      <c r="N134" s="36">
        <f t="shared" si="12"/>
        <v>5465570.8400000008</v>
      </c>
      <c r="O134" s="47">
        <v>1</v>
      </c>
    </row>
    <row r="135" spans="1:15" x14ac:dyDescent="0.2">
      <c r="A135" s="48"/>
      <c r="B135" s="85"/>
      <c r="C135" s="88"/>
      <c r="D135" s="86"/>
      <c r="E135" s="49"/>
      <c r="F135" s="49"/>
      <c r="G135" s="49"/>
      <c r="H135" s="49"/>
      <c r="I135" s="49"/>
      <c r="J135" s="72"/>
      <c r="K135" s="72"/>
      <c r="L135" s="49"/>
      <c r="M135" s="49"/>
      <c r="N135" s="49"/>
    </row>
    <row r="136" spans="1:15" ht="15.75" thickBot="1" x14ac:dyDescent="0.25">
      <c r="B136" s="87"/>
      <c r="C136" s="87"/>
      <c r="D136" s="87"/>
      <c r="E136" s="12"/>
      <c r="L136" s="15"/>
      <c r="M136" s="4"/>
    </row>
    <row r="137" spans="1:15" ht="15.75" x14ac:dyDescent="0.25">
      <c r="A137" s="1" t="s">
        <v>85</v>
      </c>
      <c r="B137" s="2"/>
      <c r="C137" s="3"/>
      <c r="D137" s="4"/>
      <c r="E137" s="4"/>
      <c r="F137" s="4"/>
      <c r="G137" s="4"/>
      <c r="H137" s="4"/>
      <c r="I137" s="4"/>
      <c r="J137" s="73"/>
      <c r="K137" s="73"/>
      <c r="L137" s="4"/>
      <c r="M137" s="4"/>
    </row>
    <row r="138" spans="1:15" ht="15.75" x14ac:dyDescent="0.25">
      <c r="A138" s="5" t="s">
        <v>2</v>
      </c>
      <c r="B138" s="6"/>
      <c r="C138" s="7"/>
      <c r="D138" s="4"/>
      <c r="E138" s="4"/>
      <c r="F138" s="4"/>
      <c r="G138" s="4"/>
      <c r="H138" s="4"/>
      <c r="I138" s="4"/>
      <c r="J138" s="73"/>
      <c r="K138" s="73"/>
      <c r="L138" s="4"/>
      <c r="M138" s="4"/>
    </row>
    <row r="139" spans="1:15" ht="5.0999999999999996" customHeight="1" thickBot="1" x14ac:dyDescent="0.25">
      <c r="A139" s="8"/>
      <c r="B139" s="9"/>
      <c r="C139" s="10"/>
      <c r="D139" s="4"/>
      <c r="E139" s="4"/>
      <c r="F139" s="4"/>
      <c r="G139" s="4"/>
      <c r="H139" s="4"/>
      <c r="I139" s="4"/>
      <c r="J139" s="73"/>
      <c r="K139" s="73"/>
      <c r="L139" s="4"/>
      <c r="M139" s="4"/>
    </row>
    <row r="140" spans="1:15" ht="6.95" customHeight="1" x14ac:dyDescent="0.2">
      <c r="A140" s="51"/>
      <c r="B140" s="52"/>
      <c r="C140" s="53"/>
      <c r="D140" s="4"/>
      <c r="E140" s="4"/>
      <c r="F140" s="4"/>
      <c r="G140" s="4"/>
      <c r="H140" s="4"/>
      <c r="I140" s="4"/>
      <c r="J140" s="73"/>
      <c r="K140" s="73"/>
      <c r="L140" s="4"/>
      <c r="M140" s="4"/>
    </row>
    <row r="141" spans="1:15" x14ac:dyDescent="0.2">
      <c r="A141" s="54" t="s">
        <v>86</v>
      </c>
      <c r="B141" s="55"/>
      <c r="C141" s="56"/>
      <c r="D141" s="4"/>
      <c r="E141" s="4"/>
      <c r="F141" s="4"/>
      <c r="G141" s="4"/>
      <c r="H141" s="4"/>
      <c r="I141" s="4"/>
      <c r="J141" s="73"/>
      <c r="K141" s="73"/>
      <c r="L141" s="4"/>
    </row>
    <row r="142" spans="1:15" x14ac:dyDescent="0.2">
      <c r="A142" s="57" t="s">
        <v>236</v>
      </c>
      <c r="B142" s="55"/>
      <c r="C142" s="76">
        <f>260706.83+1025276.81</f>
        <v>1285983.6400000001</v>
      </c>
      <c r="D142" s="49"/>
      <c r="E142" s="4"/>
      <c r="F142" s="4"/>
      <c r="G142" s="4"/>
      <c r="H142" s="4"/>
      <c r="I142" s="4"/>
      <c r="J142" s="73"/>
      <c r="K142" s="73"/>
      <c r="L142" s="4"/>
    </row>
    <row r="143" spans="1:15" x14ac:dyDescent="0.2">
      <c r="A143" s="57" t="s">
        <v>256</v>
      </c>
      <c r="B143" s="55"/>
      <c r="C143" s="76">
        <f>50710.94-4603.19-39.95</f>
        <v>46067.8</v>
      </c>
      <c r="D143" s="49"/>
      <c r="E143" s="4"/>
      <c r="F143" s="4"/>
      <c r="G143" s="4"/>
      <c r="H143" s="4"/>
      <c r="I143" s="4"/>
      <c r="J143" s="73"/>
      <c r="K143" s="73"/>
      <c r="L143" s="4"/>
    </row>
    <row r="144" spans="1:15" x14ac:dyDescent="0.2">
      <c r="A144" s="57" t="s">
        <v>87</v>
      </c>
      <c r="B144" s="55"/>
      <c r="C144" s="76">
        <f>M26</f>
        <v>1302840.42</v>
      </c>
      <c r="D144" s="4"/>
      <c r="E144" s="4"/>
      <c r="F144" s="4"/>
      <c r="G144" s="4"/>
      <c r="H144" s="4"/>
      <c r="I144" s="4"/>
      <c r="J144" s="73"/>
      <c r="K144" s="73"/>
      <c r="L144" s="4"/>
    </row>
    <row r="145" spans="1:12" x14ac:dyDescent="0.2">
      <c r="A145" s="57" t="s">
        <v>88</v>
      </c>
      <c r="B145" s="55"/>
      <c r="C145" s="77">
        <f>-M134</f>
        <v>-948205.77</v>
      </c>
      <c r="D145" s="4"/>
      <c r="E145" s="4"/>
      <c r="F145" s="4"/>
      <c r="G145" s="4"/>
      <c r="H145" s="4"/>
      <c r="I145" s="4"/>
      <c r="J145" s="73"/>
      <c r="K145" s="73"/>
      <c r="L145" s="4"/>
    </row>
    <row r="146" spans="1:12" ht="15.75" x14ac:dyDescent="0.25">
      <c r="A146" s="58" t="s">
        <v>89</v>
      </c>
      <c r="B146" s="59"/>
      <c r="C146" s="78">
        <f>SUM(C142:C145)</f>
        <v>1686686.0900000003</v>
      </c>
      <c r="D146" s="4"/>
      <c r="E146" s="4"/>
      <c r="F146" s="4"/>
      <c r="G146" s="4"/>
      <c r="H146" s="4"/>
      <c r="I146" s="4"/>
      <c r="J146" s="73"/>
      <c r="K146" s="73"/>
      <c r="L146" s="4"/>
    </row>
    <row r="147" spans="1:12" ht="5.0999999999999996" customHeight="1" x14ac:dyDescent="0.25">
      <c r="A147" s="58"/>
      <c r="B147" s="59"/>
      <c r="C147" s="78"/>
      <c r="D147" s="4"/>
      <c r="E147" s="4"/>
      <c r="F147" s="4"/>
      <c r="G147" s="4"/>
      <c r="H147" s="4"/>
      <c r="I147" s="4"/>
      <c r="J147" s="73"/>
      <c r="K147" s="73"/>
      <c r="L147" s="4"/>
    </row>
    <row r="148" spans="1:12" x14ac:dyDescent="0.2">
      <c r="A148" s="54" t="s">
        <v>90</v>
      </c>
      <c r="B148" s="55"/>
      <c r="C148" s="76"/>
      <c r="D148" s="90"/>
      <c r="E148" s="91"/>
      <c r="F148" s="4"/>
      <c r="G148" s="4"/>
      <c r="H148" s="4"/>
      <c r="I148" s="4"/>
      <c r="J148" s="73"/>
      <c r="K148" s="73"/>
      <c r="L148" s="4"/>
    </row>
    <row r="149" spans="1:12" x14ac:dyDescent="0.2">
      <c r="A149" s="57" t="s">
        <v>152</v>
      </c>
      <c r="B149" s="55"/>
      <c r="C149" s="76">
        <v>285.52999999999997</v>
      </c>
      <c r="D149" s="92"/>
      <c r="E149" s="91"/>
      <c r="F149" s="4"/>
      <c r="G149" s="4"/>
      <c r="H149" s="4"/>
      <c r="I149" s="4"/>
      <c r="J149" s="73"/>
      <c r="K149" s="73"/>
      <c r="L149" s="4"/>
    </row>
    <row r="150" spans="1:12" x14ac:dyDescent="0.2">
      <c r="A150" s="57" t="s">
        <v>156</v>
      </c>
      <c r="B150" s="55"/>
      <c r="C150" s="76">
        <v>10690.32</v>
      </c>
      <c r="D150" s="92"/>
      <c r="E150" s="91"/>
      <c r="F150" s="4"/>
      <c r="G150" s="4"/>
      <c r="H150" s="4"/>
      <c r="I150" s="4"/>
      <c r="J150" s="73"/>
      <c r="K150" s="73"/>
      <c r="L150" s="4"/>
    </row>
    <row r="151" spans="1:12" x14ac:dyDescent="0.2">
      <c r="A151" s="57" t="s">
        <v>154</v>
      </c>
      <c r="B151" s="55"/>
      <c r="C151" s="76">
        <v>13534.51</v>
      </c>
      <c r="D151" s="92"/>
      <c r="E151" s="91"/>
      <c r="F151" s="4"/>
      <c r="G151" s="4"/>
      <c r="H151" s="4"/>
      <c r="I151" s="4"/>
      <c r="J151" s="73"/>
      <c r="K151" s="73"/>
      <c r="L151" s="4"/>
    </row>
    <row r="152" spans="1:12" x14ac:dyDescent="0.2">
      <c r="A152" s="57" t="s">
        <v>153</v>
      </c>
      <c r="B152" s="55"/>
      <c r="C152" s="76">
        <v>2074.1999999999998</v>
      </c>
      <c r="D152" s="93"/>
      <c r="E152" s="94"/>
      <c r="F152" s="4"/>
      <c r="G152" s="4"/>
      <c r="H152" s="4"/>
      <c r="I152" s="4"/>
      <c r="J152" s="73"/>
      <c r="K152" s="73"/>
      <c r="L152" s="4"/>
    </row>
    <row r="153" spans="1:12" x14ac:dyDescent="0.2">
      <c r="A153" s="57" t="s">
        <v>253</v>
      </c>
      <c r="B153" s="55"/>
      <c r="C153" s="76">
        <v>990.15</v>
      </c>
      <c r="D153" s="93"/>
      <c r="E153" s="94"/>
      <c r="F153" s="4"/>
      <c r="G153" s="4"/>
      <c r="H153" s="4"/>
      <c r="I153" s="4"/>
      <c r="J153" s="73"/>
      <c r="K153" s="73"/>
      <c r="L153" s="4"/>
    </row>
    <row r="154" spans="1:12" ht="2.1" customHeight="1" x14ac:dyDescent="0.2">
      <c r="A154" s="57"/>
      <c r="B154" s="55"/>
      <c r="C154" s="77"/>
      <c r="D154" s="92"/>
      <c r="E154" s="91"/>
      <c r="F154" s="4"/>
      <c r="G154" s="4"/>
      <c r="H154" s="4"/>
      <c r="I154" s="4"/>
      <c r="J154" s="73"/>
      <c r="K154" s="73"/>
      <c r="L154" s="4"/>
    </row>
    <row r="155" spans="1:12" ht="15.75" x14ac:dyDescent="0.25">
      <c r="A155" s="58"/>
      <c r="B155" s="59"/>
      <c r="C155" s="78">
        <f>SUM(C149:C154)</f>
        <v>27574.710000000003</v>
      </c>
      <c r="D155" s="92"/>
      <c r="E155" s="91"/>
      <c r="F155" s="4"/>
      <c r="G155" s="4"/>
      <c r="H155" s="4"/>
      <c r="I155" s="4"/>
      <c r="J155" s="73"/>
      <c r="K155" s="73"/>
      <c r="L155" s="4"/>
    </row>
    <row r="156" spans="1:12" ht="2.1" customHeight="1" x14ac:dyDescent="0.25">
      <c r="A156" s="58"/>
      <c r="B156" s="59"/>
      <c r="C156" s="79"/>
      <c r="D156" s="90"/>
      <c r="E156" s="91"/>
      <c r="F156" s="4"/>
      <c r="G156" s="4"/>
      <c r="H156" s="4"/>
      <c r="I156" s="4"/>
      <c r="J156" s="73"/>
      <c r="K156" s="73"/>
      <c r="L156" s="4"/>
    </row>
    <row r="157" spans="1:12" ht="9.9499999999999993" customHeight="1" x14ac:dyDescent="0.2">
      <c r="A157" s="57"/>
      <c r="B157" s="55"/>
      <c r="C157" s="76"/>
      <c r="D157" s="90"/>
      <c r="E157" s="91"/>
      <c r="F157" s="4"/>
      <c r="G157" s="4"/>
      <c r="H157" s="4"/>
      <c r="I157" s="4"/>
      <c r="J157" s="73"/>
      <c r="K157" s="73"/>
      <c r="L157" s="4"/>
    </row>
    <row r="158" spans="1:12" ht="16.5" thickBot="1" x14ac:dyDescent="0.3">
      <c r="A158" s="60" t="s">
        <v>251</v>
      </c>
      <c r="B158" s="61"/>
      <c r="C158" s="75">
        <f>C146+C155</f>
        <v>1714260.8000000003</v>
      </c>
      <c r="D158" s="90"/>
      <c r="E158" s="91"/>
      <c r="F158" s="4"/>
      <c r="G158" s="4"/>
      <c r="H158" s="4"/>
      <c r="I158" s="4"/>
      <c r="J158" s="73"/>
      <c r="K158" s="73"/>
      <c r="L158" s="4"/>
    </row>
    <row r="159" spans="1:12" x14ac:dyDescent="0.2">
      <c r="A159" s="62"/>
      <c r="B159" s="62"/>
      <c r="C159" s="63">
        <f>1714260.8-C158</f>
        <v>0</v>
      </c>
      <c r="D159" s="4"/>
      <c r="E159" s="4"/>
      <c r="F159" s="4"/>
      <c r="G159" s="4"/>
      <c r="H159" s="4"/>
      <c r="I159" s="4"/>
      <c r="J159" s="73"/>
      <c r="K159" s="73"/>
      <c r="L159" s="4"/>
    </row>
    <row r="160" spans="1:12" x14ac:dyDescent="0.2">
      <c r="B160" s="11" t="s">
        <v>252</v>
      </c>
      <c r="C160" s="63"/>
      <c r="D160" s="4"/>
    </row>
    <row r="161" spans="2:12" x14ac:dyDescent="0.2">
      <c r="C161" s="14"/>
      <c r="D161" s="4"/>
    </row>
    <row r="162" spans="2:12" x14ac:dyDescent="0.2">
      <c r="C162" s="14"/>
      <c r="D162" s="4"/>
    </row>
    <row r="163" spans="2:12" x14ac:dyDescent="0.2">
      <c r="C163" s="15"/>
      <c r="D163" s="4"/>
      <c r="I163" s="4"/>
      <c r="K163" s="73"/>
      <c r="L163" s="4"/>
    </row>
    <row r="164" spans="2:12" x14ac:dyDescent="0.2">
      <c r="C164" s="15"/>
      <c r="D164" s="4"/>
    </row>
    <row r="165" spans="2:12" x14ac:dyDescent="0.2">
      <c r="C165" s="15"/>
      <c r="D165" s="4"/>
    </row>
    <row r="166" spans="2:12" x14ac:dyDescent="0.2">
      <c r="C166" s="15"/>
      <c r="D166" s="4"/>
    </row>
    <row r="167" spans="2:12" x14ac:dyDescent="0.2">
      <c r="C167" s="15"/>
      <c r="D167" s="4"/>
    </row>
    <row r="168" spans="2:12" x14ac:dyDescent="0.2">
      <c r="D168" s="4"/>
    </row>
    <row r="169" spans="2:12" x14ac:dyDescent="0.2">
      <c r="D169" s="4"/>
    </row>
    <row r="170" spans="2:12" x14ac:dyDescent="0.2">
      <c r="D170" s="4"/>
    </row>
    <row r="171" spans="2:12" x14ac:dyDescent="0.2">
      <c r="B171" s="11" t="s">
        <v>239</v>
      </c>
      <c r="D171" s="4"/>
      <c r="E171" s="13" t="s">
        <v>240</v>
      </c>
      <c r="I171" s="50" t="s">
        <v>95</v>
      </c>
      <c r="K171" s="82"/>
    </row>
    <row r="172" spans="2:12" x14ac:dyDescent="0.2">
      <c r="B172" s="11" t="s">
        <v>91</v>
      </c>
      <c r="D172" s="4"/>
      <c r="E172" s="13" t="s">
        <v>92</v>
      </c>
      <c r="I172" s="50" t="s">
        <v>93</v>
      </c>
      <c r="K172" s="82"/>
    </row>
    <row r="173" spans="2:12" x14ac:dyDescent="0.2">
      <c r="D173" s="4"/>
      <c r="I173" s="13"/>
      <c r="K173" s="83"/>
    </row>
    <row r="177" spans="7:12" x14ac:dyDescent="0.2">
      <c r="I177" s="4"/>
      <c r="K177" s="73"/>
      <c r="L177" s="4"/>
    </row>
    <row r="178" spans="7:12" x14ac:dyDescent="0.2">
      <c r="I178" s="4"/>
      <c r="K178" s="73"/>
      <c r="L178" s="4"/>
    </row>
    <row r="179" spans="7:12" x14ac:dyDescent="0.2">
      <c r="G179" s="64"/>
      <c r="I179" s="64"/>
      <c r="K179" s="74"/>
      <c r="L179" s="4"/>
    </row>
    <row r="180" spans="7:12" x14ac:dyDescent="0.2">
      <c r="G180" s="64"/>
      <c r="I180" s="64"/>
      <c r="K180" s="74"/>
      <c r="L180" s="4"/>
    </row>
    <row r="181" spans="7:12" x14ac:dyDescent="0.2">
      <c r="G181" s="64"/>
      <c r="L181" s="4"/>
    </row>
    <row r="182" spans="7:12" x14ac:dyDescent="0.2">
      <c r="G182" s="64"/>
    </row>
    <row r="183" spans="7:12" x14ac:dyDescent="0.2">
      <c r="G183" s="64"/>
    </row>
    <row r="184" spans="7:12" x14ac:dyDescent="0.2">
      <c r="G184" s="64"/>
      <c r="L184" s="4"/>
    </row>
    <row r="185" spans="7:12" x14ac:dyDescent="0.2">
      <c r="G185" s="64"/>
    </row>
    <row r="186" spans="7:12" x14ac:dyDescent="0.2">
      <c r="G186" s="64"/>
    </row>
    <row r="187" spans="7:12" x14ac:dyDescent="0.2">
      <c r="G187" s="64"/>
    </row>
    <row r="188" spans="7:12" x14ac:dyDescent="0.2">
      <c r="G188" s="64"/>
    </row>
    <row r="189" spans="7:12" x14ac:dyDescent="0.2">
      <c r="G189" s="64"/>
    </row>
    <row r="190" spans="7:12" x14ac:dyDescent="0.2">
      <c r="G190" s="64"/>
    </row>
    <row r="191" spans="7:12" x14ac:dyDescent="0.2">
      <c r="G191" s="64"/>
    </row>
    <row r="192" spans="7:12" x14ac:dyDescent="0.2">
      <c r="G192" s="64"/>
    </row>
    <row r="193" spans="7:7" x14ac:dyDescent="0.2">
      <c r="G193" s="64"/>
    </row>
    <row r="194" spans="7:7" x14ac:dyDescent="0.2">
      <c r="G194" s="64"/>
    </row>
    <row r="195" spans="7:7" x14ac:dyDescent="0.2">
      <c r="G195" s="64"/>
    </row>
    <row r="196" spans="7:7" x14ac:dyDescent="0.2">
      <c r="G196" s="64"/>
    </row>
  </sheetData>
  <mergeCells count="2">
    <mergeCell ref="B6:B7"/>
    <mergeCell ref="M6:M7"/>
  </mergeCells>
  <printOptions horizontalCentered="1"/>
  <pageMargins left="0" right="0" top="0.78740157480314965" bottom="0.78740157480314965" header="0.39370078740157483" footer="0.39370078740157483"/>
  <pageSetup scale="60" orientation="landscape" horizontalDpi="4294967293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showGridLines="0" topLeftCell="A163" zoomScale="85" zoomScaleNormal="85" workbookViewId="0">
      <selection activeCell="A171" sqref="A171:XFD172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9" width="16.42578125" style="11" customWidth="1"/>
    <col min="10" max="11" width="13.42578125" style="62" hidden="1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5"/>
      <c r="K1" s="65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5"/>
      <c r="K2" s="65"/>
      <c r="L2" s="16"/>
      <c r="M2" s="16"/>
      <c r="N2" s="16"/>
      <c r="O2" s="17"/>
    </row>
    <row r="3" spans="1:15" ht="15.75" x14ac:dyDescent="0.25">
      <c r="A3" s="16" t="s">
        <v>261</v>
      </c>
      <c r="B3" s="16"/>
      <c r="C3" s="16"/>
      <c r="D3" s="16"/>
      <c r="E3" s="16"/>
      <c r="F3" s="16"/>
      <c r="G3" s="16"/>
      <c r="H3" s="16"/>
      <c r="I3" s="16"/>
      <c r="J3" s="65"/>
      <c r="K3" s="65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5"/>
      <c r="K4" s="65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6"/>
      <c r="K5" s="66"/>
      <c r="L5" s="17"/>
      <c r="M5" s="17"/>
      <c r="N5" s="17"/>
      <c r="O5" s="17"/>
    </row>
    <row r="6" spans="1:15" ht="16.5" thickBot="1" x14ac:dyDescent="0.3">
      <c r="A6" s="18" t="s">
        <v>3</v>
      </c>
      <c r="B6" s="100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9" t="s">
        <v>18</v>
      </c>
      <c r="I6" s="84"/>
      <c r="J6" s="67" t="s">
        <v>155</v>
      </c>
      <c r="K6" s="80" t="s">
        <v>155</v>
      </c>
      <c r="L6" s="18" t="s">
        <v>5</v>
      </c>
      <c r="M6" s="100" t="s">
        <v>8</v>
      </c>
      <c r="N6" s="18" t="s">
        <v>9</v>
      </c>
      <c r="O6" s="18" t="s">
        <v>10</v>
      </c>
    </row>
    <row r="7" spans="1:15" ht="16.5" thickBot="1" x14ac:dyDescent="0.3">
      <c r="A7" s="21" t="s">
        <v>11</v>
      </c>
      <c r="B7" s="101"/>
      <c r="C7" s="21" t="s">
        <v>12</v>
      </c>
      <c r="D7" s="22" t="s">
        <v>13</v>
      </c>
      <c r="E7" s="22" t="s">
        <v>14</v>
      </c>
      <c r="F7" s="22" t="s">
        <v>13</v>
      </c>
      <c r="G7" s="22" t="s">
        <v>14</v>
      </c>
      <c r="H7" s="22" t="s">
        <v>13</v>
      </c>
      <c r="I7" s="23" t="s">
        <v>14</v>
      </c>
      <c r="J7" s="68" t="s">
        <v>13</v>
      </c>
      <c r="K7" s="81" t="s">
        <v>14</v>
      </c>
      <c r="L7" s="21" t="s">
        <v>15</v>
      </c>
      <c r="M7" s="101"/>
      <c r="N7" s="21" t="s">
        <v>16</v>
      </c>
      <c r="O7" s="21" t="s">
        <v>17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9"/>
      <c r="K8" s="69"/>
      <c r="L8" s="25"/>
      <c r="M8" s="25"/>
      <c r="N8" s="25"/>
      <c r="O8" s="26"/>
    </row>
    <row r="9" spans="1:15" ht="15.95" customHeight="1" x14ac:dyDescent="0.25">
      <c r="A9" s="27"/>
      <c r="B9" s="27" t="s">
        <v>187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19</v>
      </c>
      <c r="B10" s="31" t="s">
        <v>188</v>
      </c>
      <c r="C10" s="30">
        <v>33000</v>
      </c>
      <c r="D10" s="30"/>
      <c r="E10" s="30"/>
      <c r="F10" s="30"/>
      <c r="G10" s="30"/>
      <c r="H10" s="30"/>
      <c r="I10" s="30"/>
      <c r="J10" s="46"/>
      <c r="K10" s="46"/>
      <c r="L10" s="30">
        <f t="shared" ref="L10:L22" si="0">C10+D10-E10+F10-G10+J10-K10</f>
        <v>33000</v>
      </c>
      <c r="M10" s="30">
        <f>13600+7600+600</f>
        <v>21800</v>
      </c>
      <c r="N10" s="30">
        <f t="shared" ref="N10:N22" si="1">L10-M10</f>
        <v>11200</v>
      </c>
      <c r="O10" s="29">
        <f>M10/$M$26</f>
        <v>1.4051585497435957E-2</v>
      </c>
    </row>
    <row r="11" spans="1:15" ht="15.95" hidden="1" customHeight="1" x14ac:dyDescent="0.25">
      <c r="A11" s="31" t="s">
        <v>29</v>
      </c>
      <c r="B11" s="31" t="s">
        <v>30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si="0"/>
        <v>0</v>
      </c>
      <c r="M11" s="30">
        <v>0</v>
      </c>
      <c r="N11" s="30">
        <v>0</v>
      </c>
      <c r="O11" s="29"/>
    </row>
    <row r="12" spans="1:15" ht="15.95" customHeight="1" x14ac:dyDescent="0.25">
      <c r="A12" s="31" t="s">
        <v>20</v>
      </c>
      <c r="B12" s="31" t="s">
        <v>189</v>
      </c>
      <c r="C12" s="30">
        <v>25000</v>
      </c>
      <c r="D12" s="30"/>
      <c r="E12" s="30"/>
      <c r="F12" s="30"/>
      <c r="G12" s="30"/>
      <c r="H12" s="30"/>
      <c r="I12" s="30"/>
      <c r="J12" s="46"/>
      <c r="K12" s="46"/>
      <c r="L12" s="30">
        <f t="shared" si="0"/>
        <v>25000</v>
      </c>
      <c r="M12" s="30">
        <f>400.4+1360+750</f>
        <v>2510.4</v>
      </c>
      <c r="N12" s="30">
        <f t="shared" si="1"/>
        <v>22489.599999999999</v>
      </c>
      <c r="O12" s="29">
        <f>M12/$M$26</f>
        <v>1.6181238638882215E-3</v>
      </c>
    </row>
    <row r="13" spans="1:15" ht="15.95" customHeight="1" x14ac:dyDescent="0.25">
      <c r="A13" s="31" t="s">
        <v>21</v>
      </c>
      <c r="B13" s="31" t="s">
        <v>190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0"/>
        <v>3500</v>
      </c>
      <c r="M13" s="30">
        <v>0</v>
      </c>
      <c r="N13" s="30">
        <f t="shared" si="1"/>
        <v>3500</v>
      </c>
      <c r="O13" s="29">
        <f>M13/$M$26</f>
        <v>0</v>
      </c>
    </row>
    <row r="14" spans="1:15" ht="15.95" customHeight="1" x14ac:dyDescent="0.25">
      <c r="A14" s="31"/>
      <c r="B14" s="27" t="s">
        <v>191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192</v>
      </c>
      <c r="B15" s="31" t="s">
        <v>245</v>
      </c>
      <c r="C15" s="30">
        <v>3300</v>
      </c>
      <c r="D15" s="30"/>
      <c r="E15" s="30"/>
      <c r="F15" s="30"/>
      <c r="G15" s="30"/>
      <c r="H15" s="30"/>
      <c r="I15" s="30"/>
      <c r="J15" s="46"/>
      <c r="K15" s="46"/>
      <c r="L15" s="30">
        <f t="shared" si="0"/>
        <v>3300</v>
      </c>
      <c r="M15" s="30">
        <f>471.37+563.88+670.99+877.82</f>
        <v>2584.06</v>
      </c>
      <c r="N15" s="30">
        <f t="shared" si="1"/>
        <v>715.94</v>
      </c>
      <c r="O15" s="29">
        <f>M15/$M$26</f>
        <v>1.6656027532341449E-3</v>
      </c>
    </row>
    <row r="16" spans="1:15" ht="15.95" customHeight="1" x14ac:dyDescent="0.25">
      <c r="A16" s="27" t="s">
        <v>242</v>
      </c>
      <c r="B16" s="27" t="s">
        <v>243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244</v>
      </c>
      <c r="B17" s="27" t="s">
        <v>241</v>
      </c>
      <c r="C17" s="89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22</v>
      </c>
      <c r="B18" s="31" t="s">
        <v>23</v>
      </c>
      <c r="C18" s="30">
        <v>2996512.52</v>
      </c>
      <c r="D18" s="30"/>
      <c r="E18" s="30"/>
      <c r="F18" s="30"/>
      <c r="G18" s="30"/>
      <c r="H18" s="30"/>
      <c r="I18" s="30"/>
      <c r="J18" s="46"/>
      <c r="K18" s="46"/>
      <c r="L18" s="30">
        <f t="shared" si="0"/>
        <v>2996512.52</v>
      </c>
      <c r="M18" s="30">
        <f>355870+247708.11+247708.11+247708.11</f>
        <v>1098994.33</v>
      </c>
      <c r="N18" s="30">
        <f t="shared" si="1"/>
        <v>1897518.19</v>
      </c>
      <c r="O18" s="29">
        <f>M18/$M$26</f>
        <v>0.70837673344919028</v>
      </c>
    </row>
    <row r="19" spans="1:15" ht="15.95" hidden="1" customHeight="1" x14ac:dyDescent="0.25">
      <c r="A19" s="31" t="s">
        <v>24</v>
      </c>
      <c r="B19" s="31" t="s">
        <v>32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0"/>
        <v>0</v>
      </c>
      <c r="M19" s="30">
        <v>0</v>
      </c>
      <c r="N19" s="30">
        <f t="shared" si="1"/>
        <v>0</v>
      </c>
      <c r="O19" s="29">
        <f>M19/$M$26</f>
        <v>0</v>
      </c>
    </row>
    <row r="20" spans="1:15" ht="15.95" customHeight="1" x14ac:dyDescent="0.25">
      <c r="A20" s="31" t="s">
        <v>25</v>
      </c>
      <c r="B20" s="31" t="s">
        <v>26</v>
      </c>
      <c r="C20" s="30">
        <v>1809978.55</v>
      </c>
      <c r="D20" s="30"/>
      <c r="E20" s="30"/>
      <c r="F20" s="30"/>
      <c r="G20" s="30"/>
      <c r="H20" s="30"/>
      <c r="I20" s="30"/>
      <c r="J20" s="46"/>
      <c r="K20" s="46"/>
      <c r="L20" s="30">
        <f t="shared" si="0"/>
        <v>1809978.55</v>
      </c>
      <c r="M20" s="30">
        <f>351172.36+20685</f>
        <v>371857.36</v>
      </c>
      <c r="N20" s="30">
        <f t="shared" si="1"/>
        <v>1438121.19</v>
      </c>
      <c r="O20" s="29">
        <f>M20/$M$26</f>
        <v>0.23968740765554228</v>
      </c>
    </row>
    <row r="21" spans="1:15" ht="15.95" customHeight="1" x14ac:dyDescent="0.25">
      <c r="A21" s="31" t="s">
        <v>27</v>
      </c>
      <c r="B21" s="31" t="s">
        <v>28</v>
      </c>
      <c r="C21" s="30">
        <v>20000</v>
      </c>
      <c r="D21" s="30"/>
      <c r="E21" s="30"/>
      <c r="F21" s="30"/>
      <c r="G21" s="30"/>
      <c r="H21" s="30"/>
      <c r="I21" s="30"/>
      <c r="J21" s="46"/>
      <c r="K21" s="46"/>
      <c r="L21" s="30">
        <f t="shared" si="0"/>
        <v>20000</v>
      </c>
      <c r="M21" s="30">
        <v>0</v>
      </c>
      <c r="N21" s="30">
        <f t="shared" si="1"/>
        <v>20000</v>
      </c>
      <c r="O21" s="29">
        <f>M21/$M$26</f>
        <v>0</v>
      </c>
    </row>
    <row r="22" spans="1:15" ht="15.95" customHeight="1" x14ac:dyDescent="0.25">
      <c r="A22" s="32" t="s">
        <v>31</v>
      </c>
      <c r="B22" s="32" t="s">
        <v>33</v>
      </c>
      <c r="C22" s="33">
        <v>239501.9</v>
      </c>
      <c r="D22" s="33"/>
      <c r="E22" s="33"/>
      <c r="F22" s="33"/>
      <c r="G22" s="33"/>
      <c r="H22" s="33"/>
      <c r="I22" s="33"/>
      <c r="J22" s="70"/>
      <c r="K22" s="70"/>
      <c r="L22" s="30">
        <f t="shared" si="0"/>
        <v>239501.9</v>
      </c>
      <c r="M22" s="30">
        <v>53680.2</v>
      </c>
      <c r="N22" s="30">
        <f t="shared" si="1"/>
        <v>185821.7</v>
      </c>
      <c r="O22" s="29">
        <f>M22/$M$26</f>
        <v>3.460054678070925E-2</v>
      </c>
    </row>
    <row r="23" spans="1:15" ht="15.95" customHeight="1" x14ac:dyDescent="0.25">
      <c r="A23" s="27"/>
      <c r="B23" s="27" t="s">
        <v>193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30"/>
      <c r="N23" s="28"/>
      <c r="O23" s="29"/>
    </row>
    <row r="24" spans="1:15" ht="15.95" customHeight="1" x14ac:dyDescent="0.25">
      <c r="A24" s="31" t="s">
        <v>196</v>
      </c>
      <c r="B24" s="31" t="s">
        <v>197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>
        <v>0</v>
      </c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195</v>
      </c>
      <c r="B25" s="31" t="s">
        <v>194</v>
      </c>
      <c r="C25" s="30">
        <v>1025276.81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1025276.81</v>
      </c>
      <c r="M25" s="30"/>
      <c r="N25" s="30">
        <f>L25-M25</f>
        <v>1025276.81</v>
      </c>
      <c r="O25" s="29">
        <f>M25/$M$26</f>
        <v>0</v>
      </c>
    </row>
    <row r="26" spans="1:15" ht="18" customHeight="1" thickBot="1" x14ac:dyDescent="0.3">
      <c r="A26" s="34"/>
      <c r="B26" s="35" t="s">
        <v>34</v>
      </c>
      <c r="C26" s="36">
        <f>SUM(C9:C25)</f>
        <v>6416776.6100000013</v>
      </c>
      <c r="D26" s="36">
        <f t="shared" ref="D26:N26" si="2">SUM(D9:D25)</f>
        <v>0</v>
      </c>
      <c r="E26" s="36">
        <f t="shared" si="2"/>
        <v>0</v>
      </c>
      <c r="F26" s="36">
        <f t="shared" si="2"/>
        <v>0</v>
      </c>
      <c r="G26" s="36">
        <f t="shared" si="2"/>
        <v>0</v>
      </c>
      <c r="H26" s="36">
        <f t="shared" si="2"/>
        <v>0</v>
      </c>
      <c r="I26" s="36">
        <f t="shared" si="2"/>
        <v>0</v>
      </c>
      <c r="J26" s="36">
        <f t="shared" si="2"/>
        <v>0</v>
      </c>
      <c r="K26" s="36">
        <f t="shared" si="2"/>
        <v>0</v>
      </c>
      <c r="L26" s="36">
        <f t="shared" si="2"/>
        <v>6416776.6100000013</v>
      </c>
      <c r="M26" s="36">
        <f t="shared" si="2"/>
        <v>1551426.3499999999</v>
      </c>
      <c r="N26" s="36">
        <f t="shared" si="2"/>
        <v>4865350.26</v>
      </c>
      <c r="O26" s="29"/>
    </row>
    <row r="27" spans="1:15" ht="15.95" customHeight="1" x14ac:dyDescent="0.2">
      <c r="A27" s="37"/>
      <c r="B27" s="37"/>
      <c r="C27" s="38">
        <f>6416776.61-C26</f>
        <v>0</v>
      </c>
      <c r="D27" s="38"/>
      <c r="E27" s="38"/>
      <c r="F27" s="38"/>
      <c r="G27" s="38"/>
      <c r="H27" s="38"/>
      <c r="I27" s="38"/>
      <c r="J27" s="69"/>
      <c r="K27" s="69"/>
      <c r="L27" s="38"/>
      <c r="M27" s="38"/>
      <c r="N27" s="38"/>
      <c r="O27" s="39"/>
    </row>
    <row r="28" spans="1:15" ht="15.95" customHeight="1" x14ac:dyDescent="0.25">
      <c r="A28" s="27" t="s">
        <v>35</v>
      </c>
      <c r="B28" s="27" t="s">
        <v>36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37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38</v>
      </c>
      <c r="B31" s="31" t="s">
        <v>159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v>253530.4</v>
      </c>
      <c r="N31" s="30">
        <f t="shared" ref="N31:N95" si="3">L31-M31</f>
        <v>531041.64</v>
      </c>
      <c r="O31" s="40">
        <f t="shared" ref="O31:O40" si="4">M31/$M$134</f>
        <v>0.22772189639540416</v>
      </c>
    </row>
    <row r="32" spans="1:15" ht="15.95" customHeight="1" x14ac:dyDescent="0.2">
      <c r="A32" s="43" t="s">
        <v>39</v>
      </c>
      <c r="B32" s="31" t="s">
        <v>160</v>
      </c>
      <c r="C32" s="30">
        <v>4500</v>
      </c>
      <c r="D32" s="30"/>
      <c r="E32" s="30"/>
      <c r="F32" s="46"/>
      <c r="G32" s="46"/>
      <c r="H32" s="30"/>
      <c r="I32" s="30"/>
      <c r="J32" s="46"/>
      <c r="K32" s="46"/>
      <c r="L32" s="30">
        <f t="shared" ref="L32:L40" si="5">C32+D32-E32+F32-G32+H32-I32+J32-K32</f>
        <v>4500</v>
      </c>
      <c r="M32" s="30">
        <v>1875</v>
      </c>
      <c r="N32" s="30">
        <f t="shared" si="3"/>
        <v>2625</v>
      </c>
      <c r="O32" s="40">
        <f t="shared" si="4"/>
        <v>1.6841315902999515E-3</v>
      </c>
    </row>
    <row r="33" spans="1:15" ht="15.95" customHeight="1" x14ac:dyDescent="0.2">
      <c r="A33" s="43" t="s">
        <v>40</v>
      </c>
      <c r="B33" s="31" t="s">
        <v>161</v>
      </c>
      <c r="C33" s="30">
        <v>281100</v>
      </c>
      <c r="D33" s="30"/>
      <c r="E33" s="30"/>
      <c r="F33" s="46"/>
      <c r="G33" s="46"/>
      <c r="H33" s="30"/>
      <c r="I33" s="30"/>
      <c r="J33" s="46"/>
      <c r="K33" s="46"/>
      <c r="L33" s="30">
        <f t="shared" si="5"/>
        <v>281100</v>
      </c>
      <c r="M33" s="30">
        <v>87773.97</v>
      </c>
      <c r="N33" s="30">
        <f t="shared" si="3"/>
        <v>193326.03</v>
      </c>
      <c r="O33" s="40">
        <f t="shared" si="4"/>
        <v>7.8838888364288123E-2</v>
      </c>
    </row>
    <row r="34" spans="1:15" ht="15.95" customHeight="1" x14ac:dyDescent="0.2">
      <c r="A34" s="43" t="s">
        <v>41</v>
      </c>
      <c r="B34" s="31" t="s">
        <v>42</v>
      </c>
      <c r="C34" s="30">
        <v>17500</v>
      </c>
      <c r="D34" s="30"/>
      <c r="E34" s="30"/>
      <c r="F34" s="46"/>
      <c r="G34" s="46"/>
      <c r="H34" s="30"/>
      <c r="I34" s="30"/>
      <c r="J34" s="46"/>
      <c r="K34" s="46"/>
      <c r="L34" s="30">
        <f t="shared" si="5"/>
        <v>17500</v>
      </c>
      <c r="M34" s="30">
        <v>0</v>
      </c>
      <c r="N34" s="30">
        <f t="shared" si="3"/>
        <v>17500</v>
      </c>
      <c r="O34" s="40">
        <f t="shared" si="4"/>
        <v>0</v>
      </c>
    </row>
    <row r="35" spans="1:15" ht="15.95" customHeight="1" x14ac:dyDescent="0.2">
      <c r="A35" s="43" t="s">
        <v>43</v>
      </c>
      <c r="B35" s="31" t="s">
        <v>162</v>
      </c>
      <c r="C35" s="30">
        <v>34510.800000000003</v>
      </c>
      <c r="D35" s="30"/>
      <c r="E35" s="30"/>
      <c r="F35" s="46"/>
      <c r="G35" s="46"/>
      <c r="H35" s="30"/>
      <c r="I35" s="30"/>
      <c r="J35" s="46"/>
      <c r="K35" s="46"/>
      <c r="L35" s="30">
        <f t="shared" si="5"/>
        <v>34510.800000000003</v>
      </c>
      <c r="M35" s="30">
        <v>6509.8899999999994</v>
      </c>
      <c r="N35" s="30">
        <f t="shared" si="3"/>
        <v>28000.910000000003</v>
      </c>
      <c r="O35" s="40">
        <f t="shared" si="4"/>
        <v>5.8472060791348E-3</v>
      </c>
    </row>
    <row r="36" spans="1:15" ht="15.95" customHeight="1" x14ac:dyDescent="0.2">
      <c r="A36" s="43" t="s">
        <v>44</v>
      </c>
      <c r="B36" s="31" t="s">
        <v>163</v>
      </c>
      <c r="C36" s="30">
        <v>87401.15</v>
      </c>
      <c r="D36" s="30"/>
      <c r="E36" s="30"/>
      <c r="F36" s="46"/>
      <c r="G36" s="46"/>
      <c r="H36" s="30"/>
      <c r="I36" s="30"/>
      <c r="J36" s="46"/>
      <c r="K36" s="46"/>
      <c r="L36" s="30">
        <f t="shared" si="5"/>
        <v>87401.15</v>
      </c>
      <c r="M36" s="30">
        <v>28143.1</v>
      </c>
      <c r="N36" s="30">
        <f t="shared" si="3"/>
        <v>59258.049999999996</v>
      </c>
      <c r="O36" s="40">
        <f t="shared" si="4"/>
        <v>2.5278231338117633E-2</v>
      </c>
    </row>
    <row r="37" spans="1:15" ht="15.95" customHeight="1" x14ac:dyDescent="0.2">
      <c r="A37" s="43" t="s">
        <v>45</v>
      </c>
      <c r="B37" s="31" t="s">
        <v>164</v>
      </c>
      <c r="C37" s="30">
        <v>8190.84</v>
      </c>
      <c r="D37" s="30"/>
      <c r="E37" s="30"/>
      <c r="F37" s="46"/>
      <c r="G37" s="46"/>
      <c r="H37" s="30"/>
      <c r="I37" s="30"/>
      <c r="J37" s="46"/>
      <c r="K37" s="46"/>
      <c r="L37" s="30">
        <f t="shared" si="5"/>
        <v>8190.84</v>
      </c>
      <c r="M37" s="30">
        <v>2637.6</v>
      </c>
      <c r="N37" s="30">
        <f t="shared" si="3"/>
        <v>5553.24</v>
      </c>
      <c r="O37" s="40">
        <f t="shared" si="4"/>
        <v>2.3691015907067476E-3</v>
      </c>
    </row>
    <row r="38" spans="1:15" ht="15.95" customHeight="1" x14ac:dyDescent="0.2">
      <c r="A38" s="43" t="s">
        <v>46</v>
      </c>
      <c r="B38" s="31" t="s">
        <v>47</v>
      </c>
      <c r="C38" s="30">
        <v>67581.009999999995</v>
      </c>
      <c r="D38" s="30"/>
      <c r="E38" s="30"/>
      <c r="F38" s="46"/>
      <c r="G38" s="46"/>
      <c r="H38" s="30"/>
      <c r="I38" s="30"/>
      <c r="J38" s="46"/>
      <c r="K38" s="46"/>
      <c r="L38" s="30">
        <f t="shared" si="5"/>
        <v>67581.009999999995</v>
      </c>
      <c r="M38" s="30">
        <v>2868.5</v>
      </c>
      <c r="N38" s="30">
        <f t="shared" si="3"/>
        <v>64712.509999999995</v>
      </c>
      <c r="O38" s="40">
        <f t="shared" si="4"/>
        <v>2.5764967822802191E-3</v>
      </c>
    </row>
    <row r="39" spans="1:15" ht="15.95" customHeight="1" x14ac:dyDescent="0.2">
      <c r="A39" s="43" t="s">
        <v>48</v>
      </c>
      <c r="B39" s="31" t="s">
        <v>165</v>
      </c>
      <c r="C39" s="30">
        <v>67581.009999999995</v>
      </c>
      <c r="D39" s="30"/>
      <c r="E39" s="30"/>
      <c r="F39" s="46"/>
      <c r="G39" s="46"/>
      <c r="H39" s="30"/>
      <c r="I39" s="30"/>
      <c r="J39" s="46"/>
      <c r="K39" s="46"/>
      <c r="L39" s="30">
        <f t="shared" si="5"/>
        <v>67581.009999999995</v>
      </c>
      <c r="M39" s="30">
        <v>6465.89</v>
      </c>
      <c r="N39" s="30">
        <f t="shared" si="3"/>
        <v>61115.119999999995</v>
      </c>
      <c r="O39" s="40">
        <f t="shared" si="4"/>
        <v>5.8076851244824286E-3</v>
      </c>
    </row>
    <row r="40" spans="1:15" ht="15.95" customHeight="1" x14ac:dyDescent="0.2">
      <c r="A40" s="43" t="s">
        <v>49</v>
      </c>
      <c r="B40" s="31" t="s">
        <v>50</v>
      </c>
      <c r="C40" s="30">
        <v>4400</v>
      </c>
      <c r="D40" s="30"/>
      <c r="E40" s="30"/>
      <c r="F40" s="46"/>
      <c r="G40" s="46"/>
      <c r="H40" s="30"/>
      <c r="I40" s="30"/>
      <c r="J40" s="46"/>
      <c r="K40" s="46"/>
      <c r="L40" s="30">
        <f t="shared" si="5"/>
        <v>4400</v>
      </c>
      <c r="M40" s="30">
        <v>99.73</v>
      </c>
      <c r="N40" s="30">
        <f t="shared" si="3"/>
        <v>4300.2700000000004</v>
      </c>
      <c r="O40" s="40">
        <f t="shared" si="4"/>
        <v>8.9577836533660891E-5</v>
      </c>
    </row>
    <row r="41" spans="1:15" ht="15.95" customHeight="1" x14ac:dyDescent="0.2">
      <c r="A41" s="43"/>
      <c r="B41" s="31"/>
      <c r="C41" s="30"/>
      <c r="D41" s="30"/>
      <c r="E41" s="30"/>
      <c r="F41" s="46"/>
      <c r="G41" s="46"/>
      <c r="H41" s="30"/>
      <c r="I41" s="30"/>
      <c r="J41" s="46"/>
      <c r="K41" s="46"/>
      <c r="L41" s="30"/>
      <c r="M41" s="30"/>
      <c r="N41" s="30"/>
      <c r="O41" s="40"/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5">
      <c r="A43" s="41">
        <v>1</v>
      </c>
      <c r="B43" s="42" t="s">
        <v>51</v>
      </c>
      <c r="C43" s="28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">
      <c r="A44" s="43" t="s">
        <v>96</v>
      </c>
      <c r="B44" s="31" t="s">
        <v>52</v>
      </c>
      <c r="C44" s="30">
        <v>13750</v>
      </c>
      <c r="D44" s="30"/>
      <c r="E44" s="30"/>
      <c r="F44" s="46"/>
      <c r="G44" s="46"/>
      <c r="H44" s="30"/>
      <c r="I44" s="30"/>
      <c r="J44" s="46"/>
      <c r="K44" s="46"/>
      <c r="L44" s="30">
        <f t="shared" ref="L44:L75" si="6">C44+D44-E44+F44-G44+H44-I44+J44-K44</f>
        <v>13750</v>
      </c>
      <c r="M44" s="30">
        <v>2236.34</v>
      </c>
      <c r="N44" s="30">
        <f t="shared" si="3"/>
        <v>11513.66</v>
      </c>
      <c r="O44" s="40">
        <f t="shared" ref="O44:O75" si="7">M44/$M$134</f>
        <v>2.0086884483474102E-3</v>
      </c>
    </row>
    <row r="45" spans="1:15" ht="15.95" customHeight="1" x14ac:dyDescent="0.2">
      <c r="A45" s="43" t="s">
        <v>97</v>
      </c>
      <c r="B45" s="31" t="s">
        <v>53</v>
      </c>
      <c r="C45" s="30">
        <v>26100</v>
      </c>
      <c r="D45" s="30"/>
      <c r="E45" s="30"/>
      <c r="F45" s="46"/>
      <c r="G45" s="46"/>
      <c r="H45" s="30"/>
      <c r="I45" s="30"/>
      <c r="J45" s="46"/>
      <c r="K45" s="46"/>
      <c r="L45" s="30">
        <f t="shared" si="6"/>
        <v>26100</v>
      </c>
      <c r="M45" s="30">
        <v>8602.34</v>
      </c>
      <c r="N45" s="30">
        <f t="shared" si="3"/>
        <v>17497.66</v>
      </c>
      <c r="O45" s="40">
        <f t="shared" si="7"/>
        <v>7.7266520237338054E-3</v>
      </c>
    </row>
    <row r="46" spans="1:15" ht="15.95" customHeight="1" x14ac:dyDescent="0.2">
      <c r="A46" s="43" t="s">
        <v>98</v>
      </c>
      <c r="B46" s="31" t="s">
        <v>54</v>
      </c>
      <c r="C46" s="30">
        <v>2000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2000</v>
      </c>
      <c r="M46" s="30">
        <v>135</v>
      </c>
      <c r="N46" s="30">
        <f t="shared" si="3"/>
        <v>1865</v>
      </c>
      <c r="O46" s="40">
        <f t="shared" si="7"/>
        <v>1.2125747450159651E-4</v>
      </c>
    </row>
    <row r="47" spans="1:15" ht="15.95" customHeight="1" x14ac:dyDescent="0.2">
      <c r="A47" s="43" t="s">
        <v>99</v>
      </c>
      <c r="B47" s="31" t="s">
        <v>166</v>
      </c>
      <c r="C47" s="30">
        <v>8000</v>
      </c>
      <c r="D47" s="30"/>
      <c r="E47" s="30"/>
      <c r="F47" s="46"/>
      <c r="G47" s="46"/>
      <c r="H47" s="30"/>
      <c r="I47" s="30"/>
      <c r="J47" s="46"/>
      <c r="K47" s="46"/>
      <c r="L47" s="30">
        <f t="shared" si="6"/>
        <v>8000</v>
      </c>
      <c r="M47" s="30">
        <v>5119.6099999999997</v>
      </c>
      <c r="N47" s="30">
        <f t="shared" si="3"/>
        <v>2880.3900000000003</v>
      </c>
      <c r="O47" s="40">
        <f t="shared" si="7"/>
        <v>4.5984516965416186E-3</v>
      </c>
    </row>
    <row r="48" spans="1:15" ht="15.95" customHeight="1" x14ac:dyDescent="0.2">
      <c r="A48" s="43" t="s">
        <v>100</v>
      </c>
      <c r="B48" s="31" t="s">
        <v>167</v>
      </c>
      <c r="C48" s="30">
        <v>14250</v>
      </c>
      <c r="D48" s="30"/>
      <c r="E48" s="30"/>
      <c r="F48" s="46"/>
      <c r="G48" s="46"/>
      <c r="H48" s="30"/>
      <c r="I48" s="30"/>
      <c r="J48" s="46"/>
      <c r="K48" s="46"/>
      <c r="L48" s="30">
        <f t="shared" si="6"/>
        <v>14250</v>
      </c>
      <c r="M48" s="30">
        <v>470.75</v>
      </c>
      <c r="N48" s="30">
        <f t="shared" si="3"/>
        <v>13779.25</v>
      </c>
      <c r="O48" s="40">
        <f t="shared" si="7"/>
        <v>4.2282930460464115E-4</v>
      </c>
    </row>
    <row r="49" spans="1:15" ht="15.95" customHeight="1" x14ac:dyDescent="0.2">
      <c r="A49" s="43" t="s">
        <v>101</v>
      </c>
      <c r="B49" s="31" t="s">
        <v>168</v>
      </c>
      <c r="C49" s="30">
        <v>1176868.53</v>
      </c>
      <c r="D49" s="30"/>
      <c r="E49" s="30">
        <v>129000</v>
      </c>
      <c r="F49" s="46"/>
      <c r="G49" s="46"/>
      <c r="H49" s="30"/>
      <c r="I49" s="30"/>
      <c r="J49" s="46"/>
      <c r="K49" s="46"/>
      <c r="L49" s="30">
        <f t="shared" si="6"/>
        <v>1047868.53</v>
      </c>
      <c r="M49" s="30">
        <v>242364.35</v>
      </c>
      <c r="N49" s="30">
        <f t="shared" si="3"/>
        <v>805504.18</v>
      </c>
      <c r="O49" s="40">
        <f t="shared" si="7"/>
        <v>0.21769251103867415</v>
      </c>
    </row>
    <row r="50" spans="1:15" ht="15.95" customHeight="1" x14ac:dyDescent="0.2">
      <c r="A50" s="43" t="s">
        <v>102</v>
      </c>
      <c r="B50" s="31" t="s">
        <v>55</v>
      </c>
      <c r="C50" s="30">
        <v>619609.80000000005</v>
      </c>
      <c r="D50" s="30"/>
      <c r="E50" s="30"/>
      <c r="F50" s="46"/>
      <c r="G50" s="46"/>
      <c r="H50" s="30"/>
      <c r="I50" s="30"/>
      <c r="J50" s="46"/>
      <c r="K50" s="46"/>
      <c r="L50" s="30">
        <f t="shared" si="6"/>
        <v>619609.80000000005</v>
      </c>
      <c r="M50" s="30">
        <v>71364.740000000005</v>
      </c>
      <c r="N50" s="30">
        <f t="shared" si="3"/>
        <v>548245.06000000006</v>
      </c>
      <c r="O50" s="40">
        <f t="shared" si="7"/>
        <v>6.4100060302689374E-2</v>
      </c>
    </row>
    <row r="51" spans="1:15" ht="15.95" customHeight="1" x14ac:dyDescent="0.2">
      <c r="A51" s="43" t="s">
        <v>103</v>
      </c>
      <c r="B51" s="31" t="s">
        <v>169</v>
      </c>
      <c r="C51" s="30">
        <v>504047.6</v>
      </c>
      <c r="D51" s="30"/>
      <c r="E51" s="30"/>
      <c r="F51" s="46"/>
      <c r="G51" s="46"/>
      <c r="H51" s="30"/>
      <c r="I51" s="30"/>
      <c r="J51" s="46"/>
      <c r="K51" s="46"/>
      <c r="L51" s="30">
        <f t="shared" si="6"/>
        <v>504047.6</v>
      </c>
      <c r="M51" s="30">
        <v>161379.76</v>
      </c>
      <c r="N51" s="30">
        <f t="shared" si="3"/>
        <v>342667.83999999997</v>
      </c>
      <c r="O51" s="40">
        <f t="shared" si="7"/>
        <v>0.14495186765387974</v>
      </c>
    </row>
    <row r="52" spans="1:15" ht="15.95" customHeight="1" x14ac:dyDescent="0.2">
      <c r="A52" s="43" t="s">
        <v>104</v>
      </c>
      <c r="B52" s="31" t="s">
        <v>56</v>
      </c>
      <c r="C52" s="30">
        <v>20750</v>
      </c>
      <c r="D52" s="30"/>
      <c r="E52" s="30"/>
      <c r="F52" s="46"/>
      <c r="G52" s="46"/>
      <c r="H52" s="30"/>
      <c r="I52" s="30"/>
      <c r="J52" s="46"/>
      <c r="K52" s="46"/>
      <c r="L52" s="30">
        <f t="shared" si="6"/>
        <v>20750</v>
      </c>
      <c r="M52" s="30">
        <v>7670.83</v>
      </c>
      <c r="N52" s="30">
        <f t="shared" si="3"/>
        <v>13079.17</v>
      </c>
      <c r="O52" s="40">
        <f t="shared" si="7"/>
        <v>6.8899664676376413E-3</v>
      </c>
    </row>
    <row r="53" spans="1:15" ht="15.95" customHeight="1" x14ac:dyDescent="0.2">
      <c r="A53" s="43" t="s">
        <v>105</v>
      </c>
      <c r="B53" s="31" t="s">
        <v>57</v>
      </c>
      <c r="C53" s="30">
        <v>42500</v>
      </c>
      <c r="D53" s="30"/>
      <c r="E53" s="30"/>
      <c r="F53" s="46"/>
      <c r="G53" s="46"/>
      <c r="H53" s="30"/>
      <c r="I53" s="30"/>
      <c r="J53" s="46"/>
      <c r="K53" s="46"/>
      <c r="L53" s="30">
        <f t="shared" si="6"/>
        <v>42500</v>
      </c>
      <c r="M53" s="30">
        <v>500</v>
      </c>
      <c r="N53" s="30">
        <f t="shared" si="3"/>
        <v>42000</v>
      </c>
      <c r="O53" s="40">
        <f t="shared" si="7"/>
        <v>4.4910175741332041E-4</v>
      </c>
    </row>
    <row r="54" spans="1:15" ht="15.95" customHeight="1" x14ac:dyDescent="0.2">
      <c r="A54" s="43" t="s">
        <v>106</v>
      </c>
      <c r="B54" s="31" t="s">
        <v>58</v>
      </c>
      <c r="C54" s="30">
        <v>4400</v>
      </c>
      <c r="D54" s="30"/>
      <c r="E54" s="30"/>
      <c r="F54" s="46"/>
      <c r="G54" s="46"/>
      <c r="H54" s="30"/>
      <c r="I54" s="30"/>
      <c r="J54" s="46"/>
      <c r="K54" s="46"/>
      <c r="L54" s="30">
        <f t="shared" si="6"/>
        <v>4400</v>
      </c>
      <c r="M54" s="30">
        <v>0</v>
      </c>
      <c r="N54" s="30">
        <f t="shared" si="3"/>
        <v>4400</v>
      </c>
      <c r="O54" s="40">
        <f t="shared" si="7"/>
        <v>0</v>
      </c>
    </row>
    <row r="55" spans="1:15" ht="15.95" customHeight="1" x14ac:dyDescent="0.2">
      <c r="A55" s="43" t="s">
        <v>107</v>
      </c>
      <c r="B55" s="31" t="s">
        <v>170</v>
      </c>
      <c r="C55" s="30">
        <v>3004.32</v>
      </c>
      <c r="D55" s="30"/>
      <c r="E55" s="30"/>
      <c r="F55" s="46"/>
      <c r="G55" s="46"/>
      <c r="H55" s="30"/>
      <c r="I55" s="30"/>
      <c r="J55" s="46"/>
      <c r="K55" s="46"/>
      <c r="L55" s="30">
        <f t="shared" si="6"/>
        <v>3004.32</v>
      </c>
      <c r="M55" s="30">
        <v>630</v>
      </c>
      <c r="N55" s="30">
        <f t="shared" si="3"/>
        <v>2374.3200000000002</v>
      </c>
      <c r="O55" s="40">
        <f t="shared" si="7"/>
        <v>5.658682143407837E-4</v>
      </c>
    </row>
    <row r="56" spans="1:15" ht="15.95" customHeight="1" x14ac:dyDescent="0.2">
      <c r="A56" s="43" t="s">
        <v>108</v>
      </c>
      <c r="B56" s="31" t="s">
        <v>171</v>
      </c>
      <c r="C56" s="30">
        <v>7750</v>
      </c>
      <c r="D56" s="30"/>
      <c r="E56" s="30"/>
      <c r="F56" s="46"/>
      <c r="G56" s="46"/>
      <c r="H56" s="30"/>
      <c r="I56" s="30"/>
      <c r="J56" s="46"/>
      <c r="K56" s="46"/>
      <c r="L56" s="30">
        <f t="shared" si="6"/>
        <v>7750</v>
      </c>
      <c r="M56" s="30">
        <v>0</v>
      </c>
      <c r="N56" s="30">
        <f t="shared" si="3"/>
        <v>7750</v>
      </c>
      <c r="O56" s="40">
        <f t="shared" si="7"/>
        <v>0</v>
      </c>
    </row>
    <row r="57" spans="1:15" ht="15.95" customHeight="1" x14ac:dyDescent="0.2">
      <c r="A57" s="43" t="s">
        <v>109</v>
      </c>
      <c r="B57" s="31" t="s">
        <v>172</v>
      </c>
      <c r="C57" s="30">
        <v>7000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7000</v>
      </c>
      <c r="M57" s="30">
        <v>263.2</v>
      </c>
      <c r="N57" s="30">
        <f t="shared" si="3"/>
        <v>6736.8</v>
      </c>
      <c r="O57" s="40">
        <f t="shared" si="7"/>
        <v>2.3640716510237185E-4</v>
      </c>
    </row>
    <row r="58" spans="1:15" ht="15.95" customHeight="1" x14ac:dyDescent="0.2">
      <c r="A58" s="43" t="s">
        <v>110</v>
      </c>
      <c r="B58" s="31" t="s">
        <v>173</v>
      </c>
      <c r="C58" s="30">
        <v>4000</v>
      </c>
      <c r="D58" s="30"/>
      <c r="E58" s="30"/>
      <c r="F58" s="46"/>
      <c r="G58" s="46"/>
      <c r="H58" s="30"/>
      <c r="I58" s="30"/>
      <c r="J58" s="46"/>
      <c r="K58" s="46"/>
      <c r="L58" s="30">
        <f t="shared" si="6"/>
        <v>4000</v>
      </c>
      <c r="M58" s="30">
        <v>0</v>
      </c>
      <c r="N58" s="30">
        <f t="shared" si="3"/>
        <v>4000</v>
      </c>
      <c r="O58" s="40">
        <f t="shared" si="7"/>
        <v>0</v>
      </c>
    </row>
    <row r="59" spans="1:15" ht="15.95" hidden="1" customHeight="1" x14ac:dyDescent="0.2">
      <c r="A59" s="43" t="s">
        <v>111</v>
      </c>
      <c r="B59" s="31" t="s">
        <v>174</v>
      </c>
      <c r="C59" s="30"/>
      <c r="D59" s="30"/>
      <c r="E59" s="30"/>
      <c r="F59" s="46"/>
      <c r="G59" s="46"/>
      <c r="H59" s="30"/>
      <c r="I59" s="30"/>
      <c r="J59" s="46"/>
      <c r="K59" s="46"/>
      <c r="L59" s="30">
        <f t="shared" si="6"/>
        <v>0</v>
      </c>
      <c r="M59" s="30">
        <v>0</v>
      </c>
      <c r="N59" s="30">
        <f t="shared" si="3"/>
        <v>0</v>
      </c>
      <c r="O59" s="40">
        <f t="shared" si="7"/>
        <v>0</v>
      </c>
    </row>
    <row r="60" spans="1:15" ht="15.95" customHeight="1" x14ac:dyDescent="0.2">
      <c r="A60" s="43" t="s">
        <v>112</v>
      </c>
      <c r="B60" s="31" t="s">
        <v>175</v>
      </c>
      <c r="C60" s="30">
        <v>9750</v>
      </c>
      <c r="D60" s="30"/>
      <c r="E60" s="30"/>
      <c r="F60" s="46"/>
      <c r="G60" s="46"/>
      <c r="H60" s="30"/>
      <c r="I60" s="30"/>
      <c r="J60" s="46"/>
      <c r="K60" s="46"/>
      <c r="L60" s="30">
        <f t="shared" si="6"/>
        <v>9750</v>
      </c>
      <c r="M60" s="30">
        <v>0</v>
      </c>
      <c r="N60" s="30">
        <f t="shared" si="3"/>
        <v>9750</v>
      </c>
      <c r="O60" s="40">
        <f t="shared" si="7"/>
        <v>0</v>
      </c>
    </row>
    <row r="61" spans="1:15" ht="15.95" customHeight="1" x14ac:dyDescent="0.2">
      <c r="A61" s="43" t="s">
        <v>113</v>
      </c>
      <c r="B61" s="31" t="s">
        <v>176</v>
      </c>
      <c r="C61" s="30">
        <v>260706.83</v>
      </c>
      <c r="D61" s="30"/>
      <c r="E61" s="30"/>
      <c r="F61" s="46"/>
      <c r="G61" s="46"/>
      <c r="H61" s="30"/>
      <c r="I61" s="30"/>
      <c r="J61" s="46"/>
      <c r="K61" s="46"/>
      <c r="L61" s="30">
        <f t="shared" si="6"/>
        <v>260706.83</v>
      </c>
      <c r="M61" s="30">
        <v>0</v>
      </c>
      <c r="N61" s="30">
        <f t="shared" si="3"/>
        <v>260706.83</v>
      </c>
      <c r="O61" s="40">
        <f t="shared" si="7"/>
        <v>0</v>
      </c>
    </row>
    <row r="62" spans="1:15" ht="15.95" customHeight="1" x14ac:dyDescent="0.2">
      <c r="A62" s="43">
        <v>182</v>
      </c>
      <c r="B62" s="31" t="s">
        <v>255</v>
      </c>
      <c r="C62" s="30">
        <v>0</v>
      </c>
      <c r="D62" s="30">
        <v>2500</v>
      </c>
      <c r="E62" s="30"/>
      <c r="F62" s="46"/>
      <c r="G62" s="46"/>
      <c r="H62" s="30"/>
      <c r="I62" s="30"/>
      <c r="J62" s="46"/>
      <c r="K62" s="46"/>
      <c r="L62" s="30">
        <f t="shared" si="6"/>
        <v>2500</v>
      </c>
      <c r="M62" s="30">
        <v>0</v>
      </c>
      <c r="N62" s="30">
        <f t="shared" si="3"/>
        <v>2500</v>
      </c>
      <c r="O62" s="40">
        <f t="shared" si="7"/>
        <v>0</v>
      </c>
    </row>
    <row r="63" spans="1:15" ht="15.95" customHeight="1" x14ac:dyDescent="0.2">
      <c r="A63" s="43" t="s">
        <v>114</v>
      </c>
      <c r="B63" s="31" t="s">
        <v>177</v>
      </c>
      <c r="C63" s="30">
        <v>15000</v>
      </c>
      <c r="D63" s="30">
        <v>12000</v>
      </c>
      <c r="E63" s="30"/>
      <c r="F63" s="46"/>
      <c r="G63" s="46"/>
      <c r="H63" s="30"/>
      <c r="I63" s="30"/>
      <c r="J63" s="46"/>
      <c r="K63" s="46"/>
      <c r="L63" s="30">
        <f t="shared" si="6"/>
        <v>27000</v>
      </c>
      <c r="M63" s="30">
        <v>4800</v>
      </c>
      <c r="N63" s="30">
        <f t="shared" si="3"/>
        <v>22200</v>
      </c>
      <c r="O63" s="40">
        <f t="shared" si="7"/>
        <v>4.3113768711678761E-3</v>
      </c>
    </row>
    <row r="64" spans="1:15" ht="15.95" customHeight="1" x14ac:dyDescent="0.2">
      <c r="A64" s="43" t="s">
        <v>115</v>
      </c>
      <c r="B64" s="31" t="s">
        <v>178</v>
      </c>
      <c r="C64" s="30">
        <v>54000</v>
      </c>
      <c r="D64" s="30"/>
      <c r="E64" s="30"/>
      <c r="F64" s="46"/>
      <c r="G64" s="46"/>
      <c r="H64" s="30"/>
      <c r="I64" s="30"/>
      <c r="J64" s="46"/>
      <c r="K64" s="46"/>
      <c r="L64" s="30">
        <f t="shared" si="6"/>
        <v>54000</v>
      </c>
      <c r="M64" s="30">
        <v>18000</v>
      </c>
      <c r="N64" s="30">
        <f t="shared" si="3"/>
        <v>36000</v>
      </c>
      <c r="O64" s="40">
        <f t="shared" si="7"/>
        <v>1.6167663266879535E-2</v>
      </c>
    </row>
    <row r="65" spans="1:15" ht="15.95" customHeight="1" x14ac:dyDescent="0.2">
      <c r="A65" s="43" t="s">
        <v>116</v>
      </c>
      <c r="B65" s="31" t="s">
        <v>59</v>
      </c>
      <c r="C65" s="30">
        <v>7500</v>
      </c>
      <c r="D65" s="30"/>
      <c r="E65" s="30"/>
      <c r="F65" s="46"/>
      <c r="G65" s="46"/>
      <c r="H65" s="30"/>
      <c r="I65" s="30"/>
      <c r="J65" s="46"/>
      <c r="K65" s="46"/>
      <c r="L65" s="30">
        <f t="shared" si="6"/>
        <v>7500</v>
      </c>
      <c r="M65" s="30">
        <v>500</v>
      </c>
      <c r="N65" s="30">
        <f t="shared" si="3"/>
        <v>7000</v>
      </c>
      <c r="O65" s="40">
        <f t="shared" si="7"/>
        <v>4.4910175741332041E-4</v>
      </c>
    </row>
    <row r="66" spans="1:15" ht="15.95" customHeight="1" x14ac:dyDescent="0.2">
      <c r="A66" s="43" t="s">
        <v>117</v>
      </c>
      <c r="B66" s="31" t="s">
        <v>179</v>
      </c>
      <c r="C66" s="30">
        <v>24540</v>
      </c>
      <c r="D66" s="30"/>
      <c r="E66" s="30"/>
      <c r="F66" s="46"/>
      <c r="G66" s="46"/>
      <c r="H66" s="30"/>
      <c r="I66" s="30"/>
      <c r="J66" s="46"/>
      <c r="K66" s="46"/>
      <c r="L66" s="30">
        <f t="shared" si="6"/>
        <v>24540</v>
      </c>
      <c r="M66" s="30">
        <v>5571</v>
      </c>
      <c r="N66" s="30">
        <f t="shared" si="3"/>
        <v>18969</v>
      </c>
      <c r="O66" s="40">
        <f t="shared" si="7"/>
        <v>5.0038917810992156E-3</v>
      </c>
    </row>
    <row r="67" spans="1:15" ht="15.95" customHeight="1" x14ac:dyDescent="0.2">
      <c r="A67" s="43" t="s">
        <v>118</v>
      </c>
      <c r="B67" s="31" t="s">
        <v>180</v>
      </c>
      <c r="C67" s="30">
        <v>8000</v>
      </c>
      <c r="D67" s="30"/>
      <c r="E67" s="30"/>
      <c r="F67" s="46"/>
      <c r="G67" s="46"/>
      <c r="H67" s="30"/>
      <c r="I67" s="30"/>
      <c r="J67" s="46"/>
      <c r="K67" s="46"/>
      <c r="L67" s="30">
        <f t="shared" si="6"/>
        <v>8000</v>
      </c>
      <c r="M67" s="30">
        <v>3200</v>
      </c>
      <c r="N67" s="30">
        <f t="shared" si="3"/>
        <v>4800</v>
      </c>
      <c r="O67" s="40">
        <f t="shared" si="7"/>
        <v>2.8742512474452505E-3</v>
      </c>
    </row>
    <row r="68" spans="1:15" ht="15.95" customHeight="1" x14ac:dyDescent="0.2">
      <c r="A68" s="43" t="s">
        <v>119</v>
      </c>
      <c r="B68" s="31" t="s">
        <v>181</v>
      </c>
      <c r="C68" s="30">
        <v>8000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8000</v>
      </c>
      <c r="M68" s="30">
        <v>0</v>
      </c>
      <c r="N68" s="30">
        <f t="shared" si="3"/>
        <v>8000</v>
      </c>
      <c r="O68" s="40">
        <f t="shared" si="7"/>
        <v>0</v>
      </c>
    </row>
    <row r="69" spans="1:15" ht="15.95" customHeight="1" x14ac:dyDescent="0.2">
      <c r="A69" s="43" t="s">
        <v>120</v>
      </c>
      <c r="B69" s="31" t="s">
        <v>60</v>
      </c>
      <c r="C69" s="30">
        <v>225800</v>
      </c>
      <c r="D69" s="30">
        <v>17000</v>
      </c>
      <c r="E69" s="30"/>
      <c r="F69" s="46"/>
      <c r="G69" s="46"/>
      <c r="H69" s="30"/>
      <c r="I69" s="30"/>
      <c r="J69" s="46"/>
      <c r="K69" s="46"/>
      <c r="L69" s="30">
        <f t="shared" si="6"/>
        <v>242800</v>
      </c>
      <c r="M69" s="30">
        <v>70807.5</v>
      </c>
      <c r="N69" s="30">
        <f t="shared" si="3"/>
        <v>171992.5</v>
      </c>
      <c r="O69" s="40">
        <f t="shared" si="7"/>
        <v>6.3599545376087363E-2</v>
      </c>
    </row>
    <row r="70" spans="1:15" ht="15.95" customHeight="1" x14ac:dyDescent="0.2">
      <c r="A70" s="43" t="s">
        <v>121</v>
      </c>
      <c r="B70" s="31" t="s">
        <v>182</v>
      </c>
      <c r="C70" s="30">
        <v>8250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8250</v>
      </c>
      <c r="M70" s="30">
        <v>0</v>
      </c>
      <c r="N70" s="30">
        <f t="shared" si="3"/>
        <v>8250</v>
      </c>
      <c r="O70" s="40">
        <f t="shared" si="7"/>
        <v>0</v>
      </c>
    </row>
    <row r="71" spans="1:15" ht="15.95" customHeight="1" x14ac:dyDescent="0.2">
      <c r="A71" s="43" t="s">
        <v>122</v>
      </c>
      <c r="B71" s="31" t="s">
        <v>183</v>
      </c>
      <c r="C71" s="30">
        <v>2500</v>
      </c>
      <c r="D71" s="30"/>
      <c r="E71" s="30"/>
      <c r="F71" s="46"/>
      <c r="G71" s="46"/>
      <c r="H71" s="30"/>
      <c r="I71" s="30"/>
      <c r="J71" s="46"/>
      <c r="K71" s="46"/>
      <c r="L71" s="30">
        <f t="shared" si="6"/>
        <v>2500</v>
      </c>
      <c r="M71" s="30">
        <v>583.41</v>
      </c>
      <c r="N71" s="30">
        <f t="shared" si="3"/>
        <v>1916.5900000000001</v>
      </c>
      <c r="O71" s="40">
        <f t="shared" si="7"/>
        <v>5.2402091258501053E-4</v>
      </c>
    </row>
    <row r="72" spans="1:15" ht="15.95" customHeight="1" x14ac:dyDescent="0.2">
      <c r="A72" s="43" t="s">
        <v>123</v>
      </c>
      <c r="B72" s="31" t="s">
        <v>61</v>
      </c>
      <c r="C72" s="30">
        <v>7000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7000</v>
      </c>
      <c r="M72" s="30">
        <v>274.31</v>
      </c>
      <c r="N72" s="30">
        <f t="shared" si="3"/>
        <v>6725.69</v>
      </c>
      <c r="O72" s="40">
        <f t="shared" si="7"/>
        <v>2.4638620615209585E-4</v>
      </c>
    </row>
    <row r="73" spans="1:15" ht="15.95" customHeight="1" x14ac:dyDescent="0.2">
      <c r="A73" s="43" t="s">
        <v>124</v>
      </c>
      <c r="B73" s="31" t="s">
        <v>184</v>
      </c>
      <c r="C73" s="30">
        <v>2000</v>
      </c>
      <c r="D73" s="30"/>
      <c r="E73" s="30"/>
      <c r="F73" s="46"/>
      <c r="G73" s="46"/>
      <c r="H73" s="30"/>
      <c r="I73" s="30"/>
      <c r="J73" s="46"/>
      <c r="K73" s="46"/>
      <c r="L73" s="30">
        <f t="shared" si="6"/>
        <v>2000</v>
      </c>
      <c r="M73" s="30">
        <v>0</v>
      </c>
      <c r="N73" s="30">
        <f t="shared" si="3"/>
        <v>2000</v>
      </c>
      <c r="O73" s="40">
        <f t="shared" si="7"/>
        <v>0</v>
      </c>
    </row>
    <row r="74" spans="1:15" ht="15.95" customHeight="1" x14ac:dyDescent="0.2">
      <c r="A74" s="43" t="s">
        <v>185</v>
      </c>
      <c r="B74" s="31" t="s">
        <v>157</v>
      </c>
      <c r="C74" s="30">
        <v>89500</v>
      </c>
      <c r="D74" s="30"/>
      <c r="E74" s="30"/>
      <c r="F74" s="46"/>
      <c r="G74" s="46"/>
      <c r="H74" s="30"/>
      <c r="I74" s="30"/>
      <c r="J74" s="46"/>
      <c r="K74" s="46"/>
      <c r="L74" s="30">
        <f t="shared" si="6"/>
        <v>89500</v>
      </c>
      <c r="M74" s="30">
        <v>0</v>
      </c>
      <c r="N74" s="30">
        <f t="shared" si="3"/>
        <v>89500</v>
      </c>
      <c r="O74" s="40">
        <f t="shared" si="7"/>
        <v>0</v>
      </c>
    </row>
    <row r="75" spans="1:15" ht="15.95" customHeight="1" x14ac:dyDescent="0.2">
      <c r="A75" s="43" t="s">
        <v>125</v>
      </c>
      <c r="B75" s="31" t="s">
        <v>186</v>
      </c>
      <c r="C75" s="30">
        <v>21000</v>
      </c>
      <c r="D75" s="30">
        <v>3500</v>
      </c>
      <c r="E75" s="30"/>
      <c r="F75" s="46"/>
      <c r="G75" s="46"/>
      <c r="H75" s="30"/>
      <c r="I75" s="30"/>
      <c r="J75" s="46"/>
      <c r="K75" s="46"/>
      <c r="L75" s="30">
        <f t="shared" si="6"/>
        <v>24500</v>
      </c>
      <c r="M75" s="30">
        <f>9990</f>
        <v>9990</v>
      </c>
      <c r="N75" s="30">
        <f t="shared" si="3"/>
        <v>14510</v>
      </c>
      <c r="O75" s="40">
        <f t="shared" si="7"/>
        <v>8.9730531131181415E-3</v>
      </c>
    </row>
    <row r="76" spans="1:15" ht="15.95" customHeight="1" x14ac:dyDescent="0.2">
      <c r="A76" s="43"/>
      <c r="B76" s="31"/>
      <c r="C76" s="30"/>
      <c r="D76" s="30"/>
      <c r="E76" s="30"/>
      <c r="F76" s="46"/>
      <c r="G76" s="46"/>
      <c r="H76" s="30"/>
      <c r="I76" s="30"/>
      <c r="J76" s="46"/>
      <c r="K76" s="46"/>
      <c r="L76" s="30"/>
      <c r="M76" s="30"/>
      <c r="N76" s="30"/>
      <c r="O76" s="40"/>
    </row>
    <row r="77" spans="1:15" ht="15.95" customHeight="1" x14ac:dyDescent="0.2">
      <c r="A77" s="43"/>
      <c r="B77" s="31"/>
      <c r="C77" s="30"/>
      <c r="D77" s="30"/>
      <c r="E77" s="30"/>
      <c r="F77" s="46"/>
      <c r="G77" s="46"/>
      <c r="H77" s="30"/>
      <c r="I77" s="30"/>
      <c r="J77" s="46"/>
      <c r="K77" s="46"/>
      <c r="L77" s="30"/>
      <c r="M77" s="30"/>
      <c r="N77" s="30"/>
      <c r="O77" s="40"/>
    </row>
    <row r="78" spans="1:15" ht="15.95" customHeight="1" x14ac:dyDescent="0.25">
      <c r="A78" s="41">
        <v>2</v>
      </c>
      <c r="B78" s="42" t="s">
        <v>62</v>
      </c>
      <c r="C78" s="28"/>
      <c r="D78" s="30"/>
      <c r="E78" s="30"/>
      <c r="F78" s="46"/>
      <c r="G78" s="46"/>
      <c r="H78" s="30"/>
      <c r="I78" s="30"/>
      <c r="J78" s="46"/>
      <c r="K78" s="46"/>
      <c r="L78" s="30"/>
      <c r="M78" s="30"/>
      <c r="N78" s="30"/>
      <c r="O78" s="40"/>
    </row>
    <row r="79" spans="1:15" ht="15.95" customHeight="1" x14ac:dyDescent="0.2">
      <c r="A79" s="43" t="s">
        <v>126</v>
      </c>
      <c r="B79" s="31" t="s">
        <v>63</v>
      </c>
      <c r="C79" s="30">
        <v>114414.1</v>
      </c>
      <c r="D79" s="30"/>
      <c r="E79" s="30"/>
      <c r="F79" s="46"/>
      <c r="G79" s="46"/>
      <c r="H79" s="30"/>
      <c r="I79" s="30"/>
      <c r="J79" s="46"/>
      <c r="K79" s="46"/>
      <c r="L79" s="30">
        <f t="shared" ref="L79:L115" si="8">C79+D79-E79+F79-G79+H79-I79+J79-K79</f>
        <v>114414.1</v>
      </c>
      <c r="M79" s="30">
        <v>17286</v>
      </c>
      <c r="N79" s="30">
        <f t="shared" si="3"/>
        <v>97128.1</v>
      </c>
      <c r="O79" s="40">
        <f t="shared" ref="O79:O115" si="9">M79/$M$134</f>
        <v>1.5526345957293313E-2</v>
      </c>
    </row>
    <row r="80" spans="1:15" ht="15.95" hidden="1" customHeight="1" x14ac:dyDescent="0.2">
      <c r="A80" s="43">
        <v>214</v>
      </c>
      <c r="B80" s="31" t="s">
        <v>198</v>
      </c>
      <c r="C80" s="30"/>
      <c r="D80" s="30"/>
      <c r="E80" s="30"/>
      <c r="F80" s="46"/>
      <c r="G80" s="46"/>
      <c r="H80" s="30"/>
      <c r="I80" s="30"/>
      <c r="J80" s="46"/>
      <c r="K80" s="46"/>
      <c r="L80" s="30">
        <f t="shared" si="8"/>
        <v>0</v>
      </c>
      <c r="M80" s="30">
        <v>0</v>
      </c>
      <c r="N80" s="30">
        <f t="shared" si="3"/>
        <v>0</v>
      </c>
      <c r="O80" s="40">
        <f t="shared" si="9"/>
        <v>0</v>
      </c>
    </row>
    <row r="81" spans="1:15" ht="15.95" customHeight="1" x14ac:dyDescent="0.2">
      <c r="A81" s="43">
        <v>223</v>
      </c>
      <c r="B81" s="31" t="s">
        <v>199</v>
      </c>
      <c r="C81" s="30">
        <v>0</v>
      </c>
      <c r="D81" s="30">
        <v>1500</v>
      </c>
      <c r="E81" s="30"/>
      <c r="F81" s="46"/>
      <c r="G81" s="46"/>
      <c r="H81" s="30"/>
      <c r="I81" s="30"/>
      <c r="J81" s="46"/>
      <c r="K81" s="46"/>
      <c r="L81" s="30">
        <f t="shared" si="8"/>
        <v>1500</v>
      </c>
      <c r="M81" s="30">
        <v>100</v>
      </c>
      <c r="N81" s="30">
        <f t="shared" si="3"/>
        <v>1400</v>
      </c>
      <c r="O81" s="40">
        <f t="shared" si="9"/>
        <v>8.9820351482664077E-5</v>
      </c>
    </row>
    <row r="82" spans="1:15" ht="15.95" hidden="1" customHeight="1" x14ac:dyDescent="0.2">
      <c r="A82" s="43">
        <v>229</v>
      </c>
      <c r="B82" s="31" t="s">
        <v>200</v>
      </c>
      <c r="C82" s="30"/>
      <c r="D82" s="30"/>
      <c r="E82" s="30"/>
      <c r="F82" s="46"/>
      <c r="G82" s="46"/>
      <c r="H82" s="30"/>
      <c r="I82" s="30"/>
      <c r="J82" s="46"/>
      <c r="K82" s="46"/>
      <c r="L82" s="30">
        <f t="shared" si="8"/>
        <v>0</v>
      </c>
      <c r="M82" s="30">
        <v>0</v>
      </c>
      <c r="N82" s="30">
        <f t="shared" si="3"/>
        <v>0</v>
      </c>
      <c r="O82" s="40">
        <f t="shared" si="9"/>
        <v>0</v>
      </c>
    </row>
    <row r="83" spans="1:15" ht="15.95" customHeight="1" x14ac:dyDescent="0.2">
      <c r="A83" s="43" t="s">
        <v>127</v>
      </c>
      <c r="B83" s="31" t="s">
        <v>64</v>
      </c>
      <c r="C83" s="30">
        <v>2750</v>
      </c>
      <c r="D83" s="30"/>
      <c r="E83" s="30"/>
      <c r="F83" s="46"/>
      <c r="G83" s="46"/>
      <c r="H83" s="30"/>
      <c r="I83" s="30"/>
      <c r="J83" s="46"/>
      <c r="K83" s="46"/>
      <c r="L83" s="30">
        <f t="shared" si="8"/>
        <v>2750</v>
      </c>
      <c r="M83" s="30">
        <v>180</v>
      </c>
      <c r="N83" s="30">
        <f t="shared" si="3"/>
        <v>2570</v>
      </c>
      <c r="O83" s="40">
        <f t="shared" si="9"/>
        <v>1.6167663266879534E-4</v>
      </c>
    </row>
    <row r="84" spans="1:15" ht="15.95" customHeight="1" x14ac:dyDescent="0.2">
      <c r="A84" s="43" t="s">
        <v>128</v>
      </c>
      <c r="B84" s="31" t="s">
        <v>65</v>
      </c>
      <c r="C84" s="30">
        <v>16800</v>
      </c>
      <c r="D84" s="30"/>
      <c r="E84" s="30"/>
      <c r="F84" s="46"/>
      <c r="G84" s="46"/>
      <c r="H84" s="30"/>
      <c r="I84" s="30"/>
      <c r="J84" s="46"/>
      <c r="K84" s="46"/>
      <c r="L84" s="30">
        <f t="shared" si="8"/>
        <v>16800</v>
      </c>
      <c r="M84" s="30">
        <v>0</v>
      </c>
      <c r="N84" s="30">
        <f t="shared" si="3"/>
        <v>16800</v>
      </c>
      <c r="O84" s="40">
        <f t="shared" si="9"/>
        <v>0</v>
      </c>
    </row>
    <row r="85" spans="1:15" ht="15.95" customHeight="1" x14ac:dyDescent="0.2">
      <c r="A85" s="43" t="s">
        <v>129</v>
      </c>
      <c r="B85" s="31" t="s">
        <v>66</v>
      </c>
      <c r="C85" s="30">
        <v>5250</v>
      </c>
      <c r="D85" s="30"/>
      <c r="E85" s="30"/>
      <c r="F85" s="46"/>
      <c r="G85" s="46"/>
      <c r="H85" s="30"/>
      <c r="I85" s="30"/>
      <c r="J85" s="46"/>
      <c r="K85" s="46"/>
      <c r="L85" s="30">
        <f t="shared" si="8"/>
        <v>5250</v>
      </c>
      <c r="M85" s="30">
        <v>678.5</v>
      </c>
      <c r="N85" s="30">
        <f t="shared" si="3"/>
        <v>4571.5</v>
      </c>
      <c r="O85" s="40">
        <f t="shared" si="9"/>
        <v>6.0943108480987582E-4</v>
      </c>
    </row>
    <row r="86" spans="1:15" ht="15.95" customHeight="1" x14ac:dyDescent="0.2">
      <c r="A86" s="43" t="s">
        <v>130</v>
      </c>
      <c r="B86" s="31" t="s">
        <v>67</v>
      </c>
      <c r="C86" s="30">
        <v>1500</v>
      </c>
      <c r="D86" s="30"/>
      <c r="E86" s="30"/>
      <c r="F86" s="46"/>
      <c r="G86" s="46"/>
      <c r="H86" s="30"/>
      <c r="I86" s="30"/>
      <c r="J86" s="46"/>
      <c r="K86" s="46"/>
      <c r="L86" s="30">
        <f t="shared" si="8"/>
        <v>1500</v>
      </c>
      <c r="M86" s="30">
        <v>691.25</v>
      </c>
      <c r="N86" s="30">
        <f t="shared" si="3"/>
        <v>808.75</v>
      </c>
      <c r="O86" s="40">
        <f t="shared" si="9"/>
        <v>6.2088317962391548E-4</v>
      </c>
    </row>
    <row r="87" spans="1:15" ht="15.95" customHeight="1" x14ac:dyDescent="0.2">
      <c r="A87" s="43" t="s">
        <v>131</v>
      </c>
      <c r="B87" s="31" t="s">
        <v>201</v>
      </c>
      <c r="C87" s="30">
        <v>3050</v>
      </c>
      <c r="D87" s="30"/>
      <c r="E87" s="30"/>
      <c r="F87" s="46"/>
      <c r="G87" s="46"/>
      <c r="H87" s="30"/>
      <c r="I87" s="30"/>
      <c r="J87" s="46"/>
      <c r="K87" s="46"/>
      <c r="L87" s="30">
        <f t="shared" si="8"/>
        <v>3050</v>
      </c>
      <c r="M87" s="30">
        <v>722.5</v>
      </c>
      <c r="N87" s="30">
        <f t="shared" si="3"/>
        <v>2327.5</v>
      </c>
      <c r="O87" s="40">
        <f t="shared" si="9"/>
        <v>6.4895203946224798E-4</v>
      </c>
    </row>
    <row r="88" spans="1:15" ht="15.95" customHeight="1" x14ac:dyDescent="0.2">
      <c r="A88" s="43" t="s">
        <v>132</v>
      </c>
      <c r="B88" s="31" t="s">
        <v>68</v>
      </c>
      <c r="C88" s="30">
        <v>875</v>
      </c>
      <c r="D88" s="30"/>
      <c r="E88" s="30"/>
      <c r="F88" s="46"/>
      <c r="G88" s="46"/>
      <c r="H88" s="30"/>
      <c r="I88" s="30"/>
      <c r="J88" s="46"/>
      <c r="K88" s="46"/>
      <c r="L88" s="30">
        <f t="shared" si="8"/>
        <v>875</v>
      </c>
      <c r="M88" s="30">
        <v>10</v>
      </c>
      <c r="N88" s="30">
        <f t="shared" si="3"/>
        <v>865</v>
      </c>
      <c r="O88" s="40">
        <f t="shared" si="9"/>
        <v>8.9820351482664077E-6</v>
      </c>
    </row>
    <row r="89" spans="1:15" ht="15.95" customHeight="1" x14ac:dyDescent="0.2">
      <c r="A89" s="43" t="s">
        <v>133</v>
      </c>
      <c r="B89" s="31" t="s">
        <v>202</v>
      </c>
      <c r="C89" s="30">
        <v>5500</v>
      </c>
      <c r="D89" s="30"/>
      <c r="E89" s="30"/>
      <c r="F89" s="46"/>
      <c r="G89" s="46"/>
      <c r="H89" s="30"/>
      <c r="I89" s="30"/>
      <c r="J89" s="46"/>
      <c r="K89" s="46"/>
      <c r="L89" s="30">
        <f t="shared" si="8"/>
        <v>5500</v>
      </c>
      <c r="M89" s="30">
        <v>0</v>
      </c>
      <c r="N89" s="30">
        <f t="shared" si="3"/>
        <v>5500</v>
      </c>
      <c r="O89" s="40">
        <f t="shared" si="9"/>
        <v>0</v>
      </c>
    </row>
    <row r="90" spans="1:15" ht="15.95" customHeight="1" x14ac:dyDescent="0.2">
      <c r="A90" s="43" t="s">
        <v>134</v>
      </c>
      <c r="B90" s="31" t="s">
        <v>69</v>
      </c>
      <c r="C90" s="30">
        <v>2700</v>
      </c>
      <c r="D90" s="30"/>
      <c r="E90" s="30"/>
      <c r="F90" s="46"/>
      <c r="G90" s="46"/>
      <c r="H90" s="30"/>
      <c r="I90" s="30"/>
      <c r="J90" s="46"/>
      <c r="K90" s="46"/>
      <c r="L90" s="30">
        <f t="shared" si="8"/>
        <v>2700</v>
      </c>
      <c r="M90" s="30">
        <v>290</v>
      </c>
      <c r="N90" s="30">
        <f t="shared" si="3"/>
        <v>2410</v>
      </c>
      <c r="O90" s="40">
        <f t="shared" si="9"/>
        <v>2.6047901929972581E-4</v>
      </c>
    </row>
    <row r="91" spans="1:15" ht="15.95" customHeight="1" x14ac:dyDescent="0.2">
      <c r="A91" s="43" t="s">
        <v>203</v>
      </c>
      <c r="B91" s="31" t="s">
        <v>204</v>
      </c>
      <c r="C91" s="30">
        <v>2800</v>
      </c>
      <c r="D91" s="30"/>
      <c r="E91" s="30"/>
      <c r="F91" s="46"/>
      <c r="G91" s="46"/>
      <c r="H91" s="30"/>
      <c r="I91" s="30"/>
      <c r="J91" s="46"/>
      <c r="K91" s="46"/>
      <c r="L91" s="30">
        <f t="shared" si="8"/>
        <v>2800</v>
      </c>
      <c r="M91" s="30">
        <v>138</v>
      </c>
      <c r="N91" s="30">
        <f t="shared" si="3"/>
        <v>2662</v>
      </c>
      <c r="O91" s="40">
        <f t="shared" si="9"/>
        <v>1.2395208504607642E-4</v>
      </c>
    </row>
    <row r="92" spans="1:15" ht="15.95" customHeight="1" x14ac:dyDescent="0.2">
      <c r="A92" s="43" t="s">
        <v>135</v>
      </c>
      <c r="B92" s="31" t="s">
        <v>70</v>
      </c>
      <c r="C92" s="30">
        <v>8500</v>
      </c>
      <c r="D92" s="30"/>
      <c r="E92" s="30"/>
      <c r="F92" s="46"/>
      <c r="G92" s="46"/>
      <c r="H92" s="30"/>
      <c r="I92" s="30"/>
      <c r="J92" s="46"/>
      <c r="K92" s="46"/>
      <c r="L92" s="30">
        <f t="shared" si="8"/>
        <v>8500</v>
      </c>
      <c r="M92" s="30">
        <v>2330.86</v>
      </c>
      <c r="N92" s="30">
        <f t="shared" si="3"/>
        <v>6169.1399999999994</v>
      </c>
      <c r="O92" s="40">
        <f t="shared" si="9"/>
        <v>2.0935866445688242E-3</v>
      </c>
    </row>
    <row r="93" spans="1:15" ht="15.95" customHeight="1" x14ac:dyDescent="0.2">
      <c r="A93" s="43" t="s">
        <v>136</v>
      </c>
      <c r="B93" s="31" t="s">
        <v>205</v>
      </c>
      <c r="C93" s="30">
        <v>2000</v>
      </c>
      <c r="D93" s="30"/>
      <c r="E93" s="30"/>
      <c r="F93" s="46"/>
      <c r="G93" s="46"/>
      <c r="H93" s="30"/>
      <c r="I93" s="30"/>
      <c r="J93" s="46"/>
      <c r="K93" s="46"/>
      <c r="L93" s="30">
        <f t="shared" si="8"/>
        <v>2000</v>
      </c>
      <c r="M93" s="30">
        <v>924.11</v>
      </c>
      <c r="N93" s="30">
        <f t="shared" si="3"/>
        <v>1075.8899999999999</v>
      </c>
      <c r="O93" s="40">
        <f t="shared" si="9"/>
        <v>8.3003885008644705E-4</v>
      </c>
    </row>
    <row r="94" spans="1:15" ht="15.95" customHeight="1" x14ac:dyDescent="0.2">
      <c r="A94" s="43" t="s">
        <v>137</v>
      </c>
      <c r="B94" s="31" t="s">
        <v>71</v>
      </c>
      <c r="C94" s="30">
        <v>17500</v>
      </c>
      <c r="D94" s="30"/>
      <c r="E94" s="30"/>
      <c r="F94" s="46"/>
      <c r="G94" s="46"/>
      <c r="H94" s="30"/>
      <c r="I94" s="30"/>
      <c r="J94" s="46"/>
      <c r="K94" s="46"/>
      <c r="L94" s="30">
        <f t="shared" si="8"/>
        <v>17500</v>
      </c>
      <c r="M94" s="30">
        <v>1806.25</v>
      </c>
      <c r="N94" s="30">
        <f t="shared" si="3"/>
        <v>15693.75</v>
      </c>
      <c r="O94" s="40">
        <f t="shared" si="9"/>
        <v>1.62238009865562E-3</v>
      </c>
    </row>
    <row r="95" spans="1:15" ht="15.95" customHeight="1" x14ac:dyDescent="0.2">
      <c r="A95" s="43" t="s">
        <v>138</v>
      </c>
      <c r="B95" s="31" t="s">
        <v>206</v>
      </c>
      <c r="C95" s="30">
        <v>3000</v>
      </c>
      <c r="D95" s="30"/>
      <c r="E95" s="30"/>
      <c r="F95" s="46"/>
      <c r="G95" s="46"/>
      <c r="H95" s="30"/>
      <c r="I95" s="30"/>
      <c r="J95" s="46"/>
      <c r="K95" s="46"/>
      <c r="L95" s="30">
        <f t="shared" si="8"/>
        <v>3000</v>
      </c>
      <c r="M95" s="30">
        <v>238.8</v>
      </c>
      <c r="N95" s="30">
        <f t="shared" si="3"/>
        <v>2761.2</v>
      </c>
      <c r="O95" s="40">
        <f t="shared" si="9"/>
        <v>2.1449099934060182E-4</v>
      </c>
    </row>
    <row r="96" spans="1:15" ht="15.95" customHeight="1" x14ac:dyDescent="0.2">
      <c r="A96" s="43" t="s">
        <v>139</v>
      </c>
      <c r="B96" s="31" t="s">
        <v>207</v>
      </c>
      <c r="C96" s="30">
        <v>1500</v>
      </c>
      <c r="D96" s="30"/>
      <c r="E96" s="30"/>
      <c r="F96" s="46"/>
      <c r="G96" s="46"/>
      <c r="H96" s="30"/>
      <c r="I96" s="30"/>
      <c r="J96" s="46"/>
      <c r="K96" s="46"/>
      <c r="L96" s="30">
        <f t="shared" si="8"/>
        <v>1500</v>
      </c>
      <c r="M96" s="30">
        <v>0</v>
      </c>
      <c r="N96" s="30">
        <f t="shared" ref="N96:N133" si="10">L96-M96</f>
        <v>1500</v>
      </c>
      <c r="O96" s="40">
        <f t="shared" si="9"/>
        <v>0</v>
      </c>
    </row>
    <row r="97" spans="1:15" ht="15.95" customHeight="1" x14ac:dyDescent="0.2">
      <c r="A97" s="43" t="s">
        <v>140</v>
      </c>
      <c r="B97" s="31" t="s">
        <v>72</v>
      </c>
      <c r="C97" s="30">
        <v>210345</v>
      </c>
      <c r="D97" s="30"/>
      <c r="E97" s="30"/>
      <c r="F97" s="46"/>
      <c r="G97" s="46"/>
      <c r="H97" s="30"/>
      <c r="I97" s="30"/>
      <c r="J97" s="46"/>
      <c r="K97" s="46"/>
      <c r="L97" s="30">
        <f t="shared" si="8"/>
        <v>210345</v>
      </c>
      <c r="M97" s="30">
        <v>0</v>
      </c>
      <c r="N97" s="30">
        <f t="shared" si="10"/>
        <v>210345</v>
      </c>
      <c r="O97" s="40">
        <f t="shared" si="9"/>
        <v>0</v>
      </c>
    </row>
    <row r="98" spans="1:15" ht="15.95" hidden="1" customHeight="1" x14ac:dyDescent="0.2">
      <c r="A98" s="43">
        <v>272</v>
      </c>
      <c r="B98" s="31" t="s">
        <v>208</v>
      </c>
      <c r="C98" s="30"/>
      <c r="D98" s="30"/>
      <c r="E98" s="30"/>
      <c r="F98" s="46"/>
      <c r="G98" s="46"/>
      <c r="H98" s="30"/>
      <c r="I98" s="30"/>
      <c r="J98" s="46"/>
      <c r="K98" s="46"/>
      <c r="L98" s="30">
        <f t="shared" si="8"/>
        <v>0</v>
      </c>
      <c r="M98" s="30">
        <v>0</v>
      </c>
      <c r="N98" s="30">
        <f t="shared" si="10"/>
        <v>0</v>
      </c>
      <c r="O98" s="40">
        <f t="shared" si="9"/>
        <v>0</v>
      </c>
    </row>
    <row r="99" spans="1:15" ht="15.95" hidden="1" customHeight="1" x14ac:dyDescent="0.2">
      <c r="A99" s="43" t="s">
        <v>141</v>
      </c>
      <c r="B99" s="31" t="s">
        <v>209</v>
      </c>
      <c r="C99" s="30"/>
      <c r="D99" s="30"/>
      <c r="E99" s="30"/>
      <c r="F99" s="46"/>
      <c r="G99" s="46"/>
      <c r="H99" s="30"/>
      <c r="I99" s="30"/>
      <c r="J99" s="46"/>
      <c r="K99" s="46"/>
      <c r="L99" s="30">
        <f t="shared" si="8"/>
        <v>0</v>
      </c>
      <c r="M99" s="30">
        <v>0</v>
      </c>
      <c r="N99" s="30">
        <f t="shared" si="10"/>
        <v>0</v>
      </c>
      <c r="O99" s="40">
        <f t="shared" si="9"/>
        <v>0</v>
      </c>
    </row>
    <row r="100" spans="1:15" ht="15.95" customHeight="1" x14ac:dyDescent="0.2">
      <c r="A100" s="43">
        <v>274</v>
      </c>
      <c r="B100" s="31" t="s">
        <v>73</v>
      </c>
      <c r="C100" s="30">
        <v>1500</v>
      </c>
      <c r="D100" s="30"/>
      <c r="E100" s="30"/>
      <c r="F100" s="46"/>
      <c r="G100" s="46"/>
      <c r="H100" s="30"/>
      <c r="I100" s="30"/>
      <c r="J100" s="46"/>
      <c r="K100" s="46"/>
      <c r="L100" s="30">
        <f t="shared" si="8"/>
        <v>1500</v>
      </c>
      <c r="M100" s="30">
        <v>237</v>
      </c>
      <c r="N100" s="30">
        <f t="shared" si="10"/>
        <v>1263</v>
      </c>
      <c r="O100" s="40">
        <f t="shared" si="9"/>
        <v>2.1287423301391388E-4</v>
      </c>
    </row>
    <row r="101" spans="1:15" ht="15.95" hidden="1" customHeight="1" x14ac:dyDescent="0.2">
      <c r="A101" s="43">
        <v>275</v>
      </c>
      <c r="B101" s="31" t="s">
        <v>210</v>
      </c>
      <c r="C101" s="30"/>
      <c r="D101" s="30"/>
      <c r="E101" s="30"/>
      <c r="F101" s="46"/>
      <c r="G101" s="46"/>
      <c r="H101" s="30"/>
      <c r="I101" s="30"/>
      <c r="J101" s="46"/>
      <c r="K101" s="46"/>
      <c r="L101" s="30">
        <f t="shared" si="8"/>
        <v>0</v>
      </c>
      <c r="M101" s="30">
        <v>0</v>
      </c>
      <c r="N101" s="30">
        <f t="shared" si="10"/>
        <v>0</v>
      </c>
      <c r="O101" s="40">
        <f t="shared" si="9"/>
        <v>0</v>
      </c>
    </row>
    <row r="102" spans="1:15" ht="15.95" customHeight="1" x14ac:dyDescent="0.2">
      <c r="A102" s="43">
        <v>279</v>
      </c>
      <c r="B102" s="31" t="s">
        <v>211</v>
      </c>
      <c r="C102" s="30">
        <v>750</v>
      </c>
      <c r="D102" s="30"/>
      <c r="E102" s="30"/>
      <c r="F102" s="46"/>
      <c r="G102" s="46"/>
      <c r="H102" s="30"/>
      <c r="I102" s="30"/>
      <c r="J102" s="46"/>
      <c r="K102" s="46"/>
      <c r="L102" s="30">
        <f t="shared" si="8"/>
        <v>750</v>
      </c>
      <c r="M102" s="30">
        <v>0</v>
      </c>
      <c r="N102" s="30">
        <f t="shared" si="10"/>
        <v>750</v>
      </c>
      <c r="O102" s="40">
        <f t="shared" si="9"/>
        <v>0</v>
      </c>
    </row>
    <row r="103" spans="1:15" ht="15.95" hidden="1" customHeight="1" x14ac:dyDescent="0.2">
      <c r="A103" s="43">
        <v>281</v>
      </c>
      <c r="B103" s="31" t="s">
        <v>212</v>
      </c>
      <c r="C103" s="30"/>
      <c r="D103" s="30"/>
      <c r="E103" s="30"/>
      <c r="F103" s="46"/>
      <c r="G103" s="46"/>
      <c r="H103" s="30"/>
      <c r="I103" s="30"/>
      <c r="J103" s="46"/>
      <c r="K103" s="46"/>
      <c r="L103" s="30">
        <f t="shared" si="8"/>
        <v>0</v>
      </c>
      <c r="M103" s="30">
        <v>0</v>
      </c>
      <c r="N103" s="30">
        <f t="shared" si="10"/>
        <v>0</v>
      </c>
      <c r="O103" s="40">
        <f t="shared" si="9"/>
        <v>0</v>
      </c>
    </row>
    <row r="104" spans="1:15" ht="15.95" customHeight="1" x14ac:dyDescent="0.2">
      <c r="A104" s="43" t="s">
        <v>142</v>
      </c>
      <c r="B104" s="31" t="s">
        <v>213</v>
      </c>
      <c r="C104" s="30">
        <v>1800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8"/>
        <v>1800</v>
      </c>
      <c r="M104" s="30">
        <v>145.4</v>
      </c>
      <c r="N104" s="30">
        <f t="shared" si="10"/>
        <v>1654.6</v>
      </c>
      <c r="O104" s="40">
        <f t="shared" si="9"/>
        <v>1.3059879105579357E-4</v>
      </c>
    </row>
    <row r="105" spans="1:15" ht="15.95" customHeight="1" x14ac:dyDescent="0.2">
      <c r="A105" s="43" t="s">
        <v>143</v>
      </c>
      <c r="B105" s="31" t="s">
        <v>74</v>
      </c>
      <c r="C105" s="30">
        <v>8800</v>
      </c>
      <c r="D105" s="30">
        <v>15000</v>
      </c>
      <c r="E105" s="30"/>
      <c r="F105" s="46"/>
      <c r="G105" s="46"/>
      <c r="H105" s="30"/>
      <c r="I105" s="30"/>
      <c r="J105" s="46"/>
      <c r="K105" s="46"/>
      <c r="L105" s="30">
        <f t="shared" si="8"/>
        <v>23800</v>
      </c>
      <c r="M105" s="30">
        <v>0</v>
      </c>
      <c r="N105" s="30">
        <f t="shared" si="10"/>
        <v>23800</v>
      </c>
      <c r="O105" s="40">
        <f t="shared" si="9"/>
        <v>0</v>
      </c>
    </row>
    <row r="106" spans="1:15" ht="15.95" customHeight="1" x14ac:dyDescent="0.2">
      <c r="A106" s="43" t="s">
        <v>144</v>
      </c>
      <c r="B106" s="31" t="s">
        <v>75</v>
      </c>
      <c r="C106" s="30">
        <v>800821.67999999993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8"/>
        <v>800821.67999999993</v>
      </c>
      <c r="M106" s="30">
        <v>0</v>
      </c>
      <c r="N106" s="30">
        <f t="shared" si="10"/>
        <v>800821.67999999993</v>
      </c>
      <c r="O106" s="40">
        <f t="shared" si="9"/>
        <v>0</v>
      </c>
    </row>
    <row r="107" spans="1:15" ht="15.95" customHeight="1" x14ac:dyDescent="0.2">
      <c r="A107" s="43">
        <v>286</v>
      </c>
      <c r="B107" s="31" t="s">
        <v>214</v>
      </c>
      <c r="C107" s="30">
        <v>1500</v>
      </c>
      <c r="D107" s="30"/>
      <c r="E107" s="30"/>
      <c r="F107" s="46"/>
      <c r="G107" s="46"/>
      <c r="H107" s="30"/>
      <c r="I107" s="30"/>
      <c r="J107" s="46"/>
      <c r="K107" s="46"/>
      <c r="L107" s="30">
        <f t="shared" si="8"/>
        <v>1500</v>
      </c>
      <c r="M107" s="30">
        <v>0</v>
      </c>
      <c r="N107" s="30">
        <f t="shared" si="10"/>
        <v>1500</v>
      </c>
      <c r="O107" s="40">
        <f t="shared" si="9"/>
        <v>0</v>
      </c>
    </row>
    <row r="108" spans="1:15" ht="15.95" hidden="1" customHeight="1" x14ac:dyDescent="0.2">
      <c r="A108" s="43">
        <v>289</v>
      </c>
      <c r="B108" s="31" t="s">
        <v>215</v>
      </c>
      <c r="C108" s="30"/>
      <c r="D108" s="30"/>
      <c r="E108" s="30"/>
      <c r="F108" s="46"/>
      <c r="G108" s="46"/>
      <c r="H108" s="30"/>
      <c r="I108" s="30"/>
      <c r="J108" s="46"/>
      <c r="K108" s="46"/>
      <c r="L108" s="30">
        <f t="shared" si="8"/>
        <v>0</v>
      </c>
      <c r="M108" s="30">
        <v>0</v>
      </c>
      <c r="N108" s="30">
        <f t="shared" si="10"/>
        <v>0</v>
      </c>
      <c r="O108" s="40">
        <f t="shared" si="9"/>
        <v>0</v>
      </c>
    </row>
    <row r="109" spans="1:15" ht="15.95" customHeight="1" x14ac:dyDescent="0.2">
      <c r="A109" s="43" t="s">
        <v>145</v>
      </c>
      <c r="B109" s="31" t="s">
        <v>76</v>
      </c>
      <c r="C109" s="30">
        <v>6600</v>
      </c>
      <c r="D109" s="30"/>
      <c r="E109" s="30"/>
      <c r="F109" s="46"/>
      <c r="G109" s="46"/>
      <c r="H109" s="30"/>
      <c r="I109" s="30"/>
      <c r="J109" s="46"/>
      <c r="K109" s="46"/>
      <c r="L109" s="30">
        <f t="shared" si="8"/>
        <v>6600</v>
      </c>
      <c r="M109" s="30">
        <v>1050.6300000000001</v>
      </c>
      <c r="N109" s="30">
        <f t="shared" si="10"/>
        <v>5549.37</v>
      </c>
      <c r="O109" s="40">
        <f t="shared" si="9"/>
        <v>9.4367955878231372E-4</v>
      </c>
    </row>
    <row r="110" spans="1:15" ht="15.95" customHeight="1" x14ac:dyDescent="0.2">
      <c r="A110" s="43" t="s">
        <v>146</v>
      </c>
      <c r="B110" s="31" t="s">
        <v>216</v>
      </c>
      <c r="C110" s="30">
        <v>2000</v>
      </c>
      <c r="D110" s="30"/>
      <c r="E110" s="30"/>
      <c r="F110" s="46"/>
      <c r="G110" s="46"/>
      <c r="H110" s="30"/>
      <c r="I110" s="30"/>
      <c r="J110" s="46"/>
      <c r="K110" s="46"/>
      <c r="L110" s="30">
        <f t="shared" si="8"/>
        <v>2000</v>
      </c>
      <c r="M110" s="30">
        <v>415.3</v>
      </c>
      <c r="N110" s="30">
        <f t="shared" si="10"/>
        <v>1584.7</v>
      </c>
      <c r="O110" s="40">
        <f t="shared" si="9"/>
        <v>3.7302391970750394E-4</v>
      </c>
    </row>
    <row r="111" spans="1:15" ht="15.95" customHeight="1" x14ac:dyDescent="0.2">
      <c r="A111" s="43" t="s">
        <v>147</v>
      </c>
      <c r="B111" s="31" t="s">
        <v>77</v>
      </c>
      <c r="C111" s="30">
        <v>115251.9</v>
      </c>
      <c r="D111" s="30">
        <f>4500+21000+10000</f>
        <v>35500</v>
      </c>
      <c r="E111" s="30"/>
      <c r="F111" s="46"/>
      <c r="G111" s="46"/>
      <c r="H111" s="30"/>
      <c r="I111" s="30"/>
      <c r="J111" s="46"/>
      <c r="K111" s="46"/>
      <c r="L111" s="30">
        <f t="shared" si="8"/>
        <v>150751.9</v>
      </c>
      <c r="M111" s="30">
        <v>75.989999999999995</v>
      </c>
      <c r="N111" s="30">
        <f t="shared" si="10"/>
        <v>150675.91</v>
      </c>
      <c r="O111" s="40">
        <f t="shared" si="9"/>
        <v>6.8254485091676423E-5</v>
      </c>
    </row>
    <row r="112" spans="1:15" ht="15.95" customHeight="1" x14ac:dyDescent="0.2">
      <c r="A112" s="43" t="s">
        <v>148</v>
      </c>
      <c r="B112" s="31" t="s">
        <v>78</v>
      </c>
      <c r="C112" s="30">
        <v>2000</v>
      </c>
      <c r="D112" s="30"/>
      <c r="E112" s="30"/>
      <c r="F112" s="46"/>
      <c r="G112" s="46"/>
      <c r="H112" s="30"/>
      <c r="I112" s="30"/>
      <c r="J112" s="46"/>
      <c r="K112" s="46"/>
      <c r="L112" s="30">
        <f t="shared" si="8"/>
        <v>2000</v>
      </c>
      <c r="M112" s="30">
        <v>0</v>
      </c>
      <c r="N112" s="30">
        <f t="shared" si="10"/>
        <v>2000</v>
      </c>
      <c r="O112" s="40">
        <f t="shared" si="9"/>
        <v>0</v>
      </c>
    </row>
    <row r="113" spans="1:15" ht="15.95" customHeight="1" x14ac:dyDescent="0.2">
      <c r="A113" s="43" t="s">
        <v>149</v>
      </c>
      <c r="B113" s="31" t="s">
        <v>217</v>
      </c>
      <c r="C113" s="30">
        <v>9500</v>
      </c>
      <c r="D113" s="30">
        <v>20000</v>
      </c>
      <c r="E113" s="30"/>
      <c r="F113" s="46"/>
      <c r="G113" s="46"/>
      <c r="H113" s="30"/>
      <c r="I113" s="30"/>
      <c r="J113" s="46"/>
      <c r="K113" s="46"/>
      <c r="L113" s="30">
        <f t="shared" si="8"/>
        <v>29500</v>
      </c>
      <c r="M113" s="30">
        <v>0</v>
      </c>
      <c r="N113" s="30">
        <f t="shared" si="10"/>
        <v>29500</v>
      </c>
      <c r="O113" s="40">
        <f t="shared" si="9"/>
        <v>0</v>
      </c>
    </row>
    <row r="114" spans="1:15" ht="15.95" customHeight="1" x14ac:dyDescent="0.2">
      <c r="A114" s="43" t="s">
        <v>150</v>
      </c>
      <c r="B114" s="31" t="s">
        <v>79</v>
      </c>
      <c r="C114" s="30">
        <v>101000</v>
      </c>
      <c r="D114" s="30"/>
      <c r="E114" s="30"/>
      <c r="F114" s="46"/>
      <c r="G114" s="46"/>
      <c r="H114" s="30"/>
      <c r="I114" s="30"/>
      <c r="J114" s="46"/>
      <c r="K114" s="46"/>
      <c r="L114" s="30">
        <f t="shared" si="8"/>
        <v>101000</v>
      </c>
      <c r="M114" s="30">
        <v>5316.97</v>
      </c>
      <c r="N114" s="30">
        <f t="shared" si="10"/>
        <v>95683.03</v>
      </c>
      <c r="O114" s="40">
        <f t="shared" si="9"/>
        <v>4.7757211422278043E-3</v>
      </c>
    </row>
    <row r="115" spans="1:15" ht="15.95" customHeight="1" x14ac:dyDescent="0.2">
      <c r="A115" s="43" t="s">
        <v>151</v>
      </c>
      <c r="B115" s="31" t="s">
        <v>80</v>
      </c>
      <c r="C115" s="30">
        <v>11500</v>
      </c>
      <c r="D115" s="30"/>
      <c r="E115" s="30"/>
      <c r="F115" s="46"/>
      <c r="G115" s="46"/>
      <c r="H115" s="30"/>
      <c r="I115" s="30"/>
      <c r="J115" s="46"/>
      <c r="K115" s="46"/>
      <c r="L115" s="30">
        <f t="shared" si="8"/>
        <v>11500</v>
      </c>
      <c r="M115" s="30">
        <v>1302.3499999999999</v>
      </c>
      <c r="N115" s="30">
        <f t="shared" si="10"/>
        <v>10197.65</v>
      </c>
      <c r="O115" s="40">
        <f t="shared" si="9"/>
        <v>1.1697753475344757E-3</v>
      </c>
    </row>
    <row r="116" spans="1:15" ht="15.95" customHeight="1" x14ac:dyDescent="0.2">
      <c r="A116" s="43"/>
      <c r="B116" s="31"/>
      <c r="C116" s="30"/>
      <c r="D116" s="30"/>
      <c r="E116" s="30"/>
      <c r="F116" s="46"/>
      <c r="G116" s="46"/>
      <c r="H116" s="30"/>
      <c r="I116" s="30"/>
      <c r="J116" s="46"/>
      <c r="K116" s="46"/>
      <c r="L116" s="30"/>
      <c r="M116" s="30"/>
      <c r="N116" s="30"/>
      <c r="O116" s="40"/>
    </row>
    <row r="117" spans="1:15" ht="15.95" customHeight="1" x14ac:dyDescent="0.2">
      <c r="A117" s="43"/>
      <c r="B117" s="31"/>
      <c r="C117" s="30"/>
      <c r="D117" s="30"/>
      <c r="E117" s="30"/>
      <c r="F117" s="46"/>
      <c r="G117" s="46"/>
      <c r="H117" s="30"/>
      <c r="I117" s="30"/>
      <c r="J117" s="46"/>
      <c r="K117" s="46"/>
      <c r="L117" s="30"/>
      <c r="M117" s="30"/>
      <c r="N117" s="30"/>
      <c r="O117" s="40"/>
    </row>
    <row r="118" spans="1:15" ht="15.95" customHeight="1" x14ac:dyDescent="0.2">
      <c r="A118" s="43"/>
      <c r="B118" s="31"/>
      <c r="C118" s="30"/>
      <c r="D118" s="30"/>
      <c r="E118" s="30"/>
      <c r="F118" s="46"/>
      <c r="G118" s="46"/>
      <c r="H118" s="30"/>
      <c r="I118" s="30"/>
      <c r="J118" s="46"/>
      <c r="K118" s="46"/>
      <c r="L118" s="30"/>
      <c r="M118" s="30"/>
      <c r="N118" s="30"/>
      <c r="O118" s="40"/>
    </row>
    <row r="119" spans="1:15" ht="15.95" customHeight="1" x14ac:dyDescent="0.25">
      <c r="A119" s="41">
        <v>3</v>
      </c>
      <c r="B119" s="42" t="s">
        <v>81</v>
      </c>
      <c r="C119" s="28"/>
      <c r="D119" s="30"/>
      <c r="E119" s="30"/>
      <c r="F119" s="46"/>
      <c r="G119" s="46"/>
      <c r="H119" s="30"/>
      <c r="I119" s="30"/>
      <c r="J119" s="46"/>
      <c r="K119" s="46"/>
      <c r="L119" s="30"/>
      <c r="M119" s="30"/>
      <c r="N119" s="30"/>
      <c r="O119" s="40"/>
    </row>
    <row r="120" spans="1:15" ht="15.95" customHeight="1" x14ac:dyDescent="0.2">
      <c r="A120" s="44" t="s">
        <v>218</v>
      </c>
      <c r="B120" s="45" t="s">
        <v>219</v>
      </c>
      <c r="C120" s="46">
        <v>10000</v>
      </c>
      <c r="D120" s="30"/>
      <c r="E120" s="30"/>
      <c r="F120" s="46"/>
      <c r="G120" s="46"/>
      <c r="H120" s="30"/>
      <c r="I120" s="30"/>
      <c r="J120" s="46"/>
      <c r="K120" s="46"/>
      <c r="L120" s="30">
        <f t="shared" ref="L120:L133" si="11">C120+D120-E120+F120-G120+J120-K120</f>
        <v>10000</v>
      </c>
      <c r="M120" s="30">
        <v>1299</v>
      </c>
      <c r="N120" s="30">
        <f t="shared" si="10"/>
        <v>8701</v>
      </c>
      <c r="O120" s="40">
        <f>M120/$M$134</f>
        <v>1.1667663657598064E-3</v>
      </c>
    </row>
    <row r="121" spans="1:15" ht="15.95" hidden="1" customHeight="1" x14ac:dyDescent="0.2">
      <c r="A121" s="44" t="s">
        <v>82</v>
      </c>
      <c r="B121" s="45" t="s">
        <v>220</v>
      </c>
      <c r="C121" s="46">
        <v>0</v>
      </c>
      <c r="D121" s="30"/>
      <c r="E121" s="30"/>
      <c r="F121" s="46"/>
      <c r="G121" s="46"/>
      <c r="H121" s="30"/>
      <c r="I121" s="30"/>
      <c r="J121" s="46"/>
      <c r="K121" s="46"/>
      <c r="L121" s="30">
        <f t="shared" si="11"/>
        <v>0</v>
      </c>
      <c r="M121" s="30">
        <v>0</v>
      </c>
      <c r="N121" s="30">
        <f t="shared" si="10"/>
        <v>0</v>
      </c>
      <c r="O121" s="40">
        <f>M121/$M$134</f>
        <v>0</v>
      </c>
    </row>
    <row r="122" spans="1:15" ht="15.95" customHeight="1" x14ac:dyDescent="0.2">
      <c r="A122" s="44" t="s">
        <v>221</v>
      </c>
      <c r="B122" s="45" t="s">
        <v>222</v>
      </c>
      <c r="C122" s="46">
        <v>54035</v>
      </c>
      <c r="D122" s="30"/>
      <c r="E122" s="30"/>
      <c r="F122" s="46"/>
      <c r="G122" s="46"/>
      <c r="H122" s="30"/>
      <c r="I122" s="30"/>
      <c r="J122" s="46"/>
      <c r="K122" s="46"/>
      <c r="L122" s="30">
        <f t="shared" si="11"/>
        <v>54035</v>
      </c>
      <c r="M122" s="30">
        <f>35472.21</f>
        <v>35472.21</v>
      </c>
      <c r="N122" s="30">
        <f t="shared" si="10"/>
        <v>18562.79</v>
      </c>
      <c r="O122" s="40">
        <f>M122/$M$134</f>
        <v>3.1861263700668718E-2</v>
      </c>
    </row>
    <row r="123" spans="1:15" ht="15.95" customHeight="1" x14ac:dyDescent="0.2">
      <c r="A123" s="44" t="s">
        <v>223</v>
      </c>
      <c r="B123" s="45" t="s">
        <v>224</v>
      </c>
      <c r="C123" s="46">
        <v>1500</v>
      </c>
      <c r="D123" s="30"/>
      <c r="E123" s="30"/>
      <c r="F123" s="46"/>
      <c r="G123" s="46"/>
      <c r="H123" s="30"/>
      <c r="I123" s="30"/>
      <c r="J123" s="46"/>
      <c r="K123" s="46"/>
      <c r="L123" s="30">
        <f t="shared" si="11"/>
        <v>1500</v>
      </c>
      <c r="M123" s="30">
        <v>0</v>
      </c>
      <c r="N123" s="30">
        <f t="shared" si="10"/>
        <v>1500</v>
      </c>
      <c r="O123" s="40">
        <f>M123/$M$134</f>
        <v>0</v>
      </c>
    </row>
    <row r="124" spans="1:15" ht="15.95" customHeight="1" x14ac:dyDescent="0.2">
      <c r="A124" s="44">
        <v>328</v>
      </c>
      <c r="B124" s="45" t="s">
        <v>254</v>
      </c>
      <c r="C124" s="46">
        <v>0</v>
      </c>
      <c r="D124" s="30">
        <v>3000</v>
      </c>
      <c r="E124" s="30"/>
      <c r="F124" s="46"/>
      <c r="G124" s="46"/>
      <c r="H124" s="30"/>
      <c r="I124" s="30"/>
      <c r="J124" s="46"/>
      <c r="K124" s="46"/>
      <c r="L124" s="30">
        <f t="shared" si="11"/>
        <v>3000</v>
      </c>
      <c r="M124" s="30"/>
      <c r="N124" s="30"/>
      <c r="O124" s="40"/>
    </row>
    <row r="125" spans="1:15" ht="15.95" customHeight="1" x14ac:dyDescent="0.2">
      <c r="A125" s="44" t="s">
        <v>225</v>
      </c>
      <c r="B125" s="45" t="s">
        <v>226</v>
      </c>
      <c r="C125" s="46">
        <v>14300</v>
      </c>
      <c r="D125" s="30">
        <f>3000+16000</f>
        <v>19000</v>
      </c>
      <c r="E125" s="30"/>
      <c r="F125" s="46"/>
      <c r="G125" s="46"/>
      <c r="H125" s="30"/>
      <c r="I125" s="30"/>
      <c r="J125" s="46"/>
      <c r="K125" s="46"/>
      <c r="L125" s="30">
        <f t="shared" si="11"/>
        <v>33300</v>
      </c>
      <c r="M125" s="30">
        <v>3950</v>
      </c>
      <c r="N125" s="30">
        <f t="shared" si="10"/>
        <v>29350</v>
      </c>
      <c r="O125" s="40">
        <f>M125/$M$134</f>
        <v>3.5479038835652312E-3</v>
      </c>
    </row>
    <row r="126" spans="1:15" ht="15.95" hidden="1" customHeight="1" x14ac:dyDescent="0.2">
      <c r="A126" s="44" t="s">
        <v>227</v>
      </c>
      <c r="B126" s="45" t="s">
        <v>228</v>
      </c>
      <c r="C126" s="46">
        <v>0</v>
      </c>
      <c r="D126" s="30"/>
      <c r="E126" s="30"/>
      <c r="F126" s="46"/>
      <c r="G126" s="46"/>
      <c r="H126" s="30"/>
      <c r="I126" s="30"/>
      <c r="J126" s="46"/>
      <c r="K126" s="46"/>
      <c r="L126" s="30">
        <f t="shared" si="11"/>
        <v>0</v>
      </c>
      <c r="M126" s="30">
        <v>0</v>
      </c>
      <c r="N126" s="30">
        <f t="shared" si="10"/>
        <v>0</v>
      </c>
      <c r="O126" s="40">
        <f>M126/$M$134</f>
        <v>0</v>
      </c>
    </row>
    <row r="127" spans="1:15" ht="15.95" customHeight="1" x14ac:dyDescent="0.2">
      <c r="A127" s="44"/>
      <c r="B127" s="45"/>
      <c r="C127" s="46"/>
      <c r="D127" s="30"/>
      <c r="E127" s="30"/>
      <c r="F127" s="46"/>
      <c r="G127" s="46"/>
      <c r="H127" s="30"/>
      <c r="I127" s="30"/>
      <c r="J127" s="46"/>
      <c r="K127" s="46"/>
      <c r="L127" s="30"/>
      <c r="M127" s="30"/>
      <c r="N127" s="30"/>
      <c r="O127" s="40"/>
    </row>
    <row r="128" spans="1:15" ht="15.95" customHeight="1" x14ac:dyDescent="0.2">
      <c r="A128" s="43"/>
      <c r="B128" s="31"/>
      <c r="C128" s="30"/>
      <c r="D128" s="30"/>
      <c r="E128" s="30"/>
      <c r="F128" s="46"/>
      <c r="G128" s="46"/>
      <c r="H128" s="30"/>
      <c r="I128" s="30"/>
      <c r="J128" s="46"/>
      <c r="K128" s="46"/>
      <c r="L128" s="30"/>
      <c r="M128" s="30"/>
      <c r="N128" s="30"/>
      <c r="O128" s="40"/>
    </row>
    <row r="129" spans="1:15" ht="15.95" customHeight="1" x14ac:dyDescent="0.25">
      <c r="A129" s="41">
        <v>4</v>
      </c>
      <c r="B129" s="42" t="s">
        <v>83</v>
      </c>
      <c r="C129" s="28"/>
      <c r="D129" s="30"/>
      <c r="E129" s="30"/>
      <c r="F129" s="46"/>
      <c r="G129" s="46"/>
      <c r="H129" s="30"/>
      <c r="I129" s="30"/>
      <c r="J129" s="46"/>
      <c r="K129" s="46"/>
      <c r="L129" s="30"/>
      <c r="M129" s="30"/>
      <c r="N129" s="30"/>
      <c r="O129" s="40"/>
    </row>
    <row r="130" spans="1:15" ht="15.95" customHeight="1" x14ac:dyDescent="0.2">
      <c r="A130" s="43" t="s">
        <v>229</v>
      </c>
      <c r="B130" s="31" t="s">
        <v>84</v>
      </c>
      <c r="C130" s="30">
        <v>140900</v>
      </c>
      <c r="D130" s="30"/>
      <c r="E130" s="30"/>
      <c r="F130" s="46"/>
      <c r="G130" s="46"/>
      <c r="H130" s="30"/>
      <c r="I130" s="30"/>
      <c r="J130" s="46"/>
      <c r="K130" s="46"/>
      <c r="L130" s="30">
        <f t="shared" si="11"/>
        <v>140900</v>
      </c>
      <c r="M130" s="30">
        <v>24186.22</v>
      </c>
      <c r="N130" s="30">
        <f t="shared" si="10"/>
        <v>116713.78</v>
      </c>
      <c r="O130" s="40">
        <f>M130/$M$134</f>
        <v>2.1724147814370397E-2</v>
      </c>
    </row>
    <row r="131" spans="1:15" ht="15.95" customHeight="1" x14ac:dyDescent="0.2">
      <c r="A131" s="43" t="s">
        <v>230</v>
      </c>
      <c r="B131" s="31" t="s">
        <v>231</v>
      </c>
      <c r="C131" s="30">
        <v>7170</v>
      </c>
      <c r="D131" s="30"/>
      <c r="E131" s="30"/>
      <c r="F131" s="30"/>
      <c r="G131" s="30"/>
      <c r="H131" s="30"/>
      <c r="I131" s="30"/>
      <c r="J131" s="46"/>
      <c r="K131" s="46"/>
      <c r="L131" s="30">
        <f t="shared" si="11"/>
        <v>7170</v>
      </c>
      <c r="M131" s="30">
        <v>3718.87</v>
      </c>
      <c r="N131" s="30">
        <f t="shared" si="10"/>
        <v>3451.13</v>
      </c>
      <c r="O131" s="40">
        <f>M131/$M$134</f>
        <v>3.3403021051833497E-3</v>
      </c>
    </row>
    <row r="132" spans="1:15" ht="15.95" customHeight="1" x14ac:dyDescent="0.2">
      <c r="A132" s="43" t="s">
        <v>232</v>
      </c>
      <c r="B132" s="31" t="s">
        <v>233</v>
      </c>
      <c r="C132" s="30">
        <v>163700</v>
      </c>
      <c r="D132" s="30"/>
      <c r="E132" s="30"/>
      <c r="F132" s="30"/>
      <c r="G132" s="30"/>
      <c r="H132" s="30"/>
      <c r="I132" s="30"/>
      <c r="J132" s="46"/>
      <c r="K132" s="46"/>
      <c r="L132" s="30">
        <f t="shared" si="11"/>
        <v>163700</v>
      </c>
      <c r="M132" s="30">
        <v>6400</v>
      </c>
      <c r="N132" s="30">
        <f t="shared" si="10"/>
        <v>157300</v>
      </c>
      <c r="O132" s="40">
        <f>M132/$M$134</f>
        <v>5.7485024948905009E-3</v>
      </c>
    </row>
    <row r="133" spans="1:15" ht="15.95" customHeight="1" thickBot="1" x14ac:dyDescent="0.25">
      <c r="A133" s="43" t="s">
        <v>234</v>
      </c>
      <c r="B133" s="31" t="s">
        <v>235</v>
      </c>
      <c r="C133" s="30">
        <v>8750</v>
      </c>
      <c r="D133" s="30"/>
      <c r="E133" s="30"/>
      <c r="F133" s="30"/>
      <c r="G133" s="30"/>
      <c r="H133" s="30"/>
      <c r="I133" s="30"/>
      <c r="J133" s="46"/>
      <c r="K133" s="46"/>
      <c r="L133" s="30">
        <f t="shared" si="11"/>
        <v>8750</v>
      </c>
      <c r="M133" s="30">
        <v>0</v>
      </c>
      <c r="N133" s="30">
        <f t="shared" si="10"/>
        <v>8750</v>
      </c>
      <c r="O133" s="40">
        <f>M133/$M$134</f>
        <v>0</v>
      </c>
    </row>
    <row r="134" spans="1:15" ht="18" customHeight="1" thickBot="1" x14ac:dyDescent="0.3">
      <c r="A134" s="34"/>
      <c r="B134" s="35" t="s">
        <v>94</v>
      </c>
      <c r="C134" s="36">
        <f t="shared" ref="C134:N134" si="12">SUM(C31:C133)</f>
        <v>6416776.6099999994</v>
      </c>
      <c r="D134" s="36">
        <f t="shared" si="12"/>
        <v>129000</v>
      </c>
      <c r="E134" s="36">
        <f t="shared" si="12"/>
        <v>129000</v>
      </c>
      <c r="F134" s="36">
        <f t="shared" si="12"/>
        <v>0</v>
      </c>
      <c r="G134" s="36">
        <f t="shared" si="12"/>
        <v>0</v>
      </c>
      <c r="H134" s="36">
        <f t="shared" si="12"/>
        <v>0</v>
      </c>
      <c r="I134" s="36">
        <f t="shared" si="12"/>
        <v>0</v>
      </c>
      <c r="J134" s="71">
        <f t="shared" si="12"/>
        <v>0</v>
      </c>
      <c r="K134" s="71">
        <f t="shared" si="12"/>
        <v>0</v>
      </c>
      <c r="L134" s="36">
        <f t="shared" si="12"/>
        <v>6416776.6099999994</v>
      </c>
      <c r="M134" s="36">
        <f t="shared" si="12"/>
        <v>1113333.4300000002</v>
      </c>
      <c r="N134" s="36">
        <f t="shared" si="12"/>
        <v>5300443.1800000016</v>
      </c>
      <c r="O134" s="47">
        <v>1</v>
      </c>
    </row>
    <row r="135" spans="1:15" x14ac:dyDescent="0.2">
      <c r="A135" s="48"/>
      <c r="B135" s="85"/>
      <c r="C135" s="88"/>
      <c r="D135" s="86"/>
      <c r="E135" s="49"/>
      <c r="F135" s="49"/>
      <c r="G135" s="49"/>
      <c r="H135" s="49"/>
      <c r="I135" s="49"/>
      <c r="J135" s="72"/>
      <c r="K135" s="72"/>
      <c r="L135" s="49"/>
      <c r="M135" s="49"/>
      <c r="N135" s="49"/>
    </row>
    <row r="136" spans="1:15" ht="15.75" thickBot="1" x14ac:dyDescent="0.25">
      <c r="B136" s="87"/>
      <c r="C136" s="87"/>
      <c r="D136" s="87"/>
      <c r="E136" s="12"/>
      <c r="L136" s="15"/>
      <c r="M136" s="4"/>
    </row>
    <row r="137" spans="1:15" ht="15.75" x14ac:dyDescent="0.25">
      <c r="A137" s="1" t="s">
        <v>85</v>
      </c>
      <c r="B137" s="2"/>
      <c r="C137" s="3"/>
      <c r="D137" s="4"/>
      <c r="E137" s="4"/>
      <c r="F137" s="4"/>
      <c r="G137" s="4"/>
      <c r="H137" s="4"/>
      <c r="I137" s="4"/>
      <c r="J137" s="73"/>
      <c r="K137" s="73"/>
      <c r="L137" s="4"/>
      <c r="M137" s="4"/>
    </row>
    <row r="138" spans="1:15" ht="15.75" x14ac:dyDescent="0.25">
      <c r="A138" s="5" t="s">
        <v>2</v>
      </c>
      <c r="B138" s="6"/>
      <c r="C138" s="7"/>
      <c r="D138" s="4"/>
      <c r="E138" s="4"/>
      <c r="F138" s="4"/>
      <c r="G138" s="4"/>
      <c r="H138" s="4"/>
      <c r="I138" s="4"/>
      <c r="J138" s="73"/>
      <c r="K138" s="73"/>
      <c r="L138" s="4"/>
      <c r="M138" s="4"/>
    </row>
    <row r="139" spans="1:15" ht="5.0999999999999996" customHeight="1" thickBot="1" x14ac:dyDescent="0.25">
      <c r="A139" s="8"/>
      <c r="B139" s="9"/>
      <c r="C139" s="10"/>
      <c r="D139" s="4"/>
      <c r="E139" s="4"/>
      <c r="F139" s="4"/>
      <c r="G139" s="4"/>
      <c r="H139" s="4"/>
      <c r="I139" s="4"/>
      <c r="J139" s="73"/>
      <c r="K139" s="73"/>
      <c r="L139" s="4"/>
      <c r="M139" s="4"/>
    </row>
    <row r="140" spans="1:15" ht="6.95" customHeight="1" x14ac:dyDescent="0.2">
      <c r="A140" s="51"/>
      <c r="B140" s="52"/>
      <c r="C140" s="53"/>
      <c r="D140" s="4"/>
      <c r="E140" s="4"/>
      <c r="F140" s="4"/>
      <c r="G140" s="4"/>
      <c r="H140" s="4"/>
      <c r="I140" s="4"/>
      <c r="J140" s="73"/>
      <c r="K140" s="73"/>
      <c r="L140" s="4"/>
      <c r="M140" s="4"/>
    </row>
    <row r="141" spans="1:15" x14ac:dyDescent="0.2">
      <c r="A141" s="54" t="s">
        <v>86</v>
      </c>
      <c r="B141" s="55"/>
      <c r="C141" s="56"/>
      <c r="D141" s="4"/>
      <c r="E141" s="4"/>
      <c r="F141" s="4"/>
      <c r="G141" s="4"/>
      <c r="H141" s="4"/>
      <c r="I141" s="4"/>
      <c r="J141" s="73"/>
      <c r="K141" s="73"/>
      <c r="L141" s="4"/>
    </row>
    <row r="142" spans="1:15" x14ac:dyDescent="0.2">
      <c r="A142" s="57" t="s">
        <v>236</v>
      </c>
      <c r="B142" s="55"/>
      <c r="C142" s="76">
        <f>260706.83+1025276.81</f>
        <v>1285983.6400000001</v>
      </c>
      <c r="D142" s="49"/>
      <c r="E142" s="4"/>
      <c r="F142" s="4"/>
      <c r="G142" s="4"/>
      <c r="H142" s="4"/>
      <c r="I142" s="4"/>
      <c r="J142" s="73"/>
      <c r="K142" s="73"/>
      <c r="L142" s="4"/>
    </row>
    <row r="143" spans="1:15" x14ac:dyDescent="0.2">
      <c r="A143" s="57" t="s">
        <v>256</v>
      </c>
      <c r="B143" s="55"/>
      <c r="C143" s="76">
        <f>50710.94-4603.19-39.95</f>
        <v>46067.8</v>
      </c>
      <c r="D143" s="49"/>
      <c r="E143" s="4"/>
      <c r="F143" s="4"/>
      <c r="G143" s="4"/>
      <c r="H143" s="4"/>
      <c r="I143" s="4"/>
      <c r="J143" s="73"/>
      <c r="K143" s="73"/>
      <c r="L143" s="4"/>
    </row>
    <row r="144" spans="1:15" x14ac:dyDescent="0.2">
      <c r="A144" s="57" t="s">
        <v>87</v>
      </c>
      <c r="B144" s="55"/>
      <c r="C144" s="76">
        <f>M26</f>
        <v>1551426.3499999999</v>
      </c>
      <c r="D144" s="4"/>
      <c r="E144" s="4"/>
      <c r="F144" s="4"/>
      <c r="G144" s="4"/>
      <c r="H144" s="4"/>
      <c r="I144" s="4"/>
      <c r="J144" s="73"/>
      <c r="K144" s="73"/>
      <c r="L144" s="4"/>
    </row>
    <row r="145" spans="1:12" x14ac:dyDescent="0.2">
      <c r="A145" s="57" t="s">
        <v>88</v>
      </c>
      <c r="B145" s="55"/>
      <c r="C145" s="77">
        <f>-M134-39.95</f>
        <v>-1113373.3800000001</v>
      </c>
      <c r="D145" s="4"/>
      <c r="E145" s="4"/>
      <c r="F145" s="4"/>
      <c r="G145" s="4"/>
      <c r="H145" s="4"/>
      <c r="I145" s="4"/>
      <c r="J145" s="73"/>
      <c r="K145" s="73"/>
      <c r="L145" s="4"/>
    </row>
    <row r="146" spans="1:12" ht="15.75" x14ac:dyDescent="0.25">
      <c r="A146" s="58" t="s">
        <v>89</v>
      </c>
      <c r="B146" s="59"/>
      <c r="C146" s="78">
        <f>SUM(C142:C145)</f>
        <v>1770104.41</v>
      </c>
      <c r="D146" s="4"/>
      <c r="E146" s="4"/>
      <c r="F146" s="4"/>
      <c r="G146" s="4"/>
      <c r="H146" s="4"/>
      <c r="I146" s="4"/>
      <c r="J146" s="73"/>
      <c r="K146" s="73"/>
      <c r="L146" s="4"/>
    </row>
    <row r="147" spans="1:12" ht="5.0999999999999996" customHeight="1" x14ac:dyDescent="0.25">
      <c r="A147" s="58"/>
      <c r="B147" s="59"/>
      <c r="C147" s="78"/>
      <c r="D147" s="4"/>
      <c r="E147" s="4"/>
      <c r="F147" s="4"/>
      <c r="G147" s="4"/>
      <c r="H147" s="4"/>
      <c r="I147" s="4"/>
      <c r="J147" s="73"/>
      <c r="K147" s="73"/>
      <c r="L147" s="4"/>
    </row>
    <row r="148" spans="1:12" x14ac:dyDescent="0.2">
      <c r="A148" s="54" t="s">
        <v>90</v>
      </c>
      <c r="B148" s="55"/>
      <c r="C148" s="76"/>
      <c r="D148" s="90"/>
      <c r="E148" s="91"/>
      <c r="F148" s="4"/>
      <c r="G148" s="4"/>
      <c r="H148" s="4"/>
      <c r="I148" s="4"/>
      <c r="J148" s="73"/>
      <c r="K148" s="73"/>
      <c r="L148" s="4"/>
    </row>
    <row r="149" spans="1:12" x14ac:dyDescent="0.2">
      <c r="A149" s="57" t="s">
        <v>152</v>
      </c>
      <c r="B149" s="55"/>
      <c r="C149" s="76">
        <v>272</v>
      </c>
      <c r="D149" s="92"/>
      <c r="E149" s="91"/>
      <c r="F149" s="4"/>
      <c r="G149" s="4"/>
      <c r="H149" s="4"/>
      <c r="I149" s="4"/>
      <c r="J149" s="73"/>
      <c r="K149" s="73"/>
      <c r="L149" s="4"/>
    </row>
    <row r="150" spans="1:12" x14ac:dyDescent="0.2">
      <c r="A150" s="57" t="s">
        <v>156</v>
      </c>
      <c r="B150" s="55"/>
      <c r="C150" s="76">
        <v>10999.72</v>
      </c>
      <c r="D150" s="92"/>
      <c r="E150" s="91"/>
      <c r="F150" s="4"/>
      <c r="G150" s="4"/>
      <c r="H150" s="4"/>
      <c r="I150" s="4"/>
      <c r="J150" s="73"/>
      <c r="K150" s="73"/>
      <c r="L150" s="4"/>
    </row>
    <row r="151" spans="1:12" x14ac:dyDescent="0.2">
      <c r="A151" s="57" t="s">
        <v>154</v>
      </c>
      <c r="B151" s="55"/>
      <c r="C151" s="76">
        <v>1053.68</v>
      </c>
      <c r="D151" s="92"/>
      <c r="E151" s="91"/>
      <c r="F151" s="4"/>
      <c r="G151" s="4"/>
      <c r="H151" s="4"/>
      <c r="I151" s="4"/>
      <c r="J151" s="73"/>
      <c r="K151" s="73"/>
      <c r="L151" s="4"/>
    </row>
    <row r="152" spans="1:12" x14ac:dyDescent="0.2">
      <c r="A152" s="57" t="s">
        <v>153</v>
      </c>
      <c r="B152" s="55"/>
      <c r="C152" s="76">
        <v>1945.86</v>
      </c>
      <c r="D152" s="93"/>
      <c r="E152" s="94"/>
      <c r="F152" s="4"/>
      <c r="G152" s="4"/>
      <c r="H152" s="4"/>
      <c r="I152" s="4"/>
      <c r="J152" s="73"/>
      <c r="K152" s="73"/>
      <c r="L152" s="4"/>
    </row>
    <row r="153" spans="1:12" x14ac:dyDescent="0.2">
      <c r="A153" s="57" t="s">
        <v>253</v>
      </c>
      <c r="B153" s="55"/>
      <c r="C153" s="76">
        <f>990.15+990.15</f>
        <v>1980.3</v>
      </c>
      <c r="D153" s="93"/>
      <c r="E153" s="94"/>
      <c r="F153" s="4"/>
      <c r="G153" s="4"/>
      <c r="H153" s="4"/>
      <c r="I153" s="4"/>
      <c r="J153" s="73"/>
      <c r="K153" s="73"/>
      <c r="L153" s="4"/>
    </row>
    <row r="154" spans="1:12" ht="2.1" customHeight="1" x14ac:dyDescent="0.2">
      <c r="A154" s="57"/>
      <c r="B154" s="55"/>
      <c r="C154" s="77"/>
      <c r="D154" s="92"/>
      <c r="E154" s="91"/>
      <c r="F154" s="4"/>
      <c r="G154" s="4"/>
      <c r="H154" s="4"/>
      <c r="I154" s="4"/>
      <c r="J154" s="73"/>
      <c r="K154" s="73"/>
      <c r="L154" s="4"/>
    </row>
    <row r="155" spans="1:12" ht="15.75" x14ac:dyDescent="0.25">
      <c r="A155" s="58"/>
      <c r="B155" s="59"/>
      <c r="C155" s="78">
        <f>SUM(C149:C154)</f>
        <v>16251.56</v>
      </c>
      <c r="D155" s="92"/>
      <c r="E155" s="91"/>
      <c r="F155" s="4"/>
      <c r="G155" s="4"/>
      <c r="H155" s="4"/>
      <c r="I155" s="4"/>
      <c r="J155" s="73"/>
      <c r="K155" s="73"/>
      <c r="L155" s="4"/>
    </row>
    <row r="156" spans="1:12" ht="2.1" customHeight="1" x14ac:dyDescent="0.25">
      <c r="A156" s="58"/>
      <c r="B156" s="59"/>
      <c r="C156" s="79"/>
      <c r="D156" s="90"/>
      <c r="E156" s="91"/>
      <c r="F156" s="4"/>
      <c r="G156" s="4"/>
      <c r="H156" s="4"/>
      <c r="I156" s="4"/>
      <c r="J156" s="73"/>
      <c r="K156" s="73"/>
      <c r="L156" s="4"/>
    </row>
    <row r="157" spans="1:12" ht="9.9499999999999993" customHeight="1" x14ac:dyDescent="0.2">
      <c r="A157" s="57"/>
      <c r="B157" s="55"/>
      <c r="C157" s="76"/>
      <c r="D157" s="90"/>
      <c r="E157" s="91"/>
      <c r="F157" s="4"/>
      <c r="G157" s="4"/>
      <c r="H157" s="4"/>
      <c r="I157" s="4"/>
      <c r="J157" s="73"/>
      <c r="K157" s="73"/>
      <c r="L157" s="4"/>
    </row>
    <row r="158" spans="1:12" ht="16.5" thickBot="1" x14ac:dyDescent="0.3">
      <c r="A158" s="60" t="s">
        <v>257</v>
      </c>
      <c r="B158" s="61"/>
      <c r="C158" s="75">
        <f>C146+C155</f>
        <v>1786355.97</v>
      </c>
      <c r="D158" s="90"/>
      <c r="E158" s="91"/>
      <c r="F158" s="4"/>
      <c r="G158" s="4"/>
      <c r="H158" s="4"/>
      <c r="I158" s="4"/>
      <c r="J158" s="73"/>
      <c r="K158" s="73"/>
      <c r="L158" s="4"/>
    </row>
    <row r="159" spans="1:12" x14ac:dyDescent="0.2">
      <c r="A159" s="62"/>
      <c r="B159" s="62"/>
      <c r="C159" s="63">
        <f>1786355.97-C158</f>
        <v>0</v>
      </c>
      <c r="D159" s="4"/>
      <c r="E159" s="4"/>
      <c r="F159" s="4"/>
      <c r="G159" s="4"/>
      <c r="H159" s="4"/>
      <c r="I159" s="4"/>
      <c r="J159" s="73"/>
      <c r="K159" s="73"/>
      <c r="L159" s="4"/>
    </row>
    <row r="160" spans="1:12" x14ac:dyDescent="0.2">
      <c r="B160" s="11" t="s">
        <v>258</v>
      </c>
      <c r="C160" s="63"/>
      <c r="D160" s="4"/>
    </row>
    <row r="161" spans="2:12" x14ac:dyDescent="0.2">
      <c r="C161" s="14"/>
      <c r="D161" s="4"/>
    </row>
    <row r="162" spans="2:12" x14ac:dyDescent="0.2">
      <c r="C162" s="14"/>
      <c r="D162" s="4"/>
    </row>
    <row r="163" spans="2:12" x14ac:dyDescent="0.2">
      <c r="C163" s="15"/>
      <c r="D163" s="4"/>
      <c r="I163" s="4"/>
      <c r="K163" s="73"/>
      <c r="L163" s="4"/>
    </row>
    <row r="164" spans="2:12" x14ac:dyDescent="0.2">
      <c r="C164" s="15"/>
      <c r="D164" s="4"/>
    </row>
    <row r="165" spans="2:12" x14ac:dyDescent="0.2">
      <c r="C165" s="15"/>
      <c r="D165" s="4"/>
    </row>
    <row r="166" spans="2:12" x14ac:dyDescent="0.2">
      <c r="C166" s="15"/>
      <c r="D166" s="4"/>
    </row>
    <row r="167" spans="2:12" x14ac:dyDescent="0.2">
      <c r="C167" s="15"/>
      <c r="D167" s="4"/>
    </row>
    <row r="168" spans="2:12" x14ac:dyDescent="0.2">
      <c r="D168" s="4"/>
    </row>
    <row r="169" spans="2:12" x14ac:dyDescent="0.2">
      <c r="D169" s="4"/>
    </row>
    <row r="170" spans="2:12" x14ac:dyDescent="0.2">
      <c r="D170" s="4"/>
    </row>
    <row r="171" spans="2:12" x14ac:dyDescent="0.2">
      <c r="B171" s="13" t="s">
        <v>240</v>
      </c>
      <c r="D171" s="4"/>
      <c r="E171" s="13"/>
      <c r="I171" s="50" t="s">
        <v>259</v>
      </c>
      <c r="K171" s="82"/>
    </row>
    <row r="172" spans="2:12" x14ac:dyDescent="0.2">
      <c r="B172" s="13" t="s">
        <v>92</v>
      </c>
      <c r="D172" s="4"/>
      <c r="E172" s="13"/>
      <c r="I172" s="50" t="s">
        <v>260</v>
      </c>
      <c r="K172" s="82"/>
    </row>
    <row r="173" spans="2:12" x14ac:dyDescent="0.2">
      <c r="D173" s="4"/>
      <c r="I173" s="13"/>
      <c r="K173" s="83"/>
    </row>
    <row r="177" spans="7:12" x14ac:dyDescent="0.2">
      <c r="I177" s="4"/>
      <c r="K177" s="73"/>
      <c r="L177" s="4"/>
    </row>
    <row r="178" spans="7:12" x14ac:dyDescent="0.2">
      <c r="I178" s="4"/>
      <c r="K178" s="73"/>
      <c r="L178" s="4"/>
    </row>
    <row r="179" spans="7:12" x14ac:dyDescent="0.2">
      <c r="G179" s="64"/>
      <c r="I179" s="64"/>
      <c r="K179" s="74"/>
      <c r="L179" s="4"/>
    </row>
    <row r="180" spans="7:12" x14ac:dyDescent="0.2">
      <c r="G180" s="64"/>
      <c r="I180" s="64"/>
      <c r="K180" s="74"/>
      <c r="L180" s="4"/>
    </row>
    <row r="181" spans="7:12" x14ac:dyDescent="0.2">
      <c r="G181" s="64"/>
      <c r="L181" s="4"/>
    </row>
    <row r="182" spans="7:12" x14ac:dyDescent="0.2">
      <c r="G182" s="64"/>
    </row>
    <row r="183" spans="7:12" x14ac:dyDescent="0.2">
      <c r="G183" s="64"/>
    </row>
    <row r="184" spans="7:12" x14ac:dyDescent="0.2">
      <c r="G184" s="64"/>
      <c r="L184" s="4"/>
    </row>
    <row r="185" spans="7:12" x14ac:dyDescent="0.2">
      <c r="G185" s="64"/>
    </row>
    <row r="186" spans="7:12" x14ac:dyDescent="0.2">
      <c r="G186" s="64"/>
    </row>
    <row r="187" spans="7:12" x14ac:dyDescent="0.2">
      <c r="G187" s="64"/>
    </row>
    <row r="188" spans="7:12" x14ac:dyDescent="0.2">
      <c r="G188" s="64"/>
    </row>
    <row r="189" spans="7:12" x14ac:dyDescent="0.2">
      <c r="G189" s="64"/>
    </row>
    <row r="190" spans="7:12" x14ac:dyDescent="0.2">
      <c r="G190" s="64"/>
    </row>
    <row r="191" spans="7:12" x14ac:dyDescent="0.2">
      <c r="G191" s="64"/>
    </row>
    <row r="192" spans="7:12" x14ac:dyDescent="0.2">
      <c r="G192" s="64"/>
    </row>
    <row r="193" spans="7:7" x14ac:dyDescent="0.2">
      <c r="G193" s="64"/>
    </row>
    <row r="194" spans="7:7" x14ac:dyDescent="0.2">
      <c r="G194" s="64"/>
    </row>
    <row r="195" spans="7:7" x14ac:dyDescent="0.2">
      <c r="G195" s="64"/>
    </row>
    <row r="196" spans="7:7" x14ac:dyDescent="0.2">
      <c r="G196" s="64"/>
    </row>
  </sheetData>
  <mergeCells count="2">
    <mergeCell ref="B6:B7"/>
    <mergeCell ref="M6:M7"/>
  </mergeCells>
  <printOptions horizontalCentered="1"/>
  <pageMargins left="0" right="0" top="0.78740157480314965" bottom="0.78740157480314965" header="0.39370078740157483" footer="0.39370078740157483"/>
  <pageSetup scale="60" orientation="landscape" horizontalDpi="4294967293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showGridLines="0" topLeftCell="A141" zoomScale="85" zoomScaleNormal="85" workbookViewId="0">
      <selection activeCell="I173" sqref="I173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9" width="16.42578125" style="11" customWidth="1"/>
    <col min="10" max="11" width="13.42578125" style="62" hidden="1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5"/>
      <c r="K1" s="65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5"/>
      <c r="K2" s="65"/>
      <c r="L2" s="16"/>
      <c r="M2" s="16"/>
      <c r="N2" s="16"/>
      <c r="O2" s="17"/>
    </row>
    <row r="3" spans="1:15" ht="15.75" x14ac:dyDescent="0.25">
      <c r="A3" s="16" t="s">
        <v>262</v>
      </c>
      <c r="B3" s="16"/>
      <c r="C3" s="16"/>
      <c r="D3" s="16"/>
      <c r="E3" s="16"/>
      <c r="F3" s="16"/>
      <c r="G3" s="16"/>
      <c r="H3" s="16"/>
      <c r="I3" s="16"/>
      <c r="J3" s="65"/>
      <c r="K3" s="65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5"/>
      <c r="K4" s="65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6"/>
      <c r="K5" s="66"/>
      <c r="L5" s="17"/>
      <c r="M5" s="17"/>
      <c r="N5" s="17"/>
      <c r="O5" s="17"/>
    </row>
    <row r="6" spans="1:15" ht="16.5" thickBot="1" x14ac:dyDescent="0.3">
      <c r="A6" s="18" t="s">
        <v>3</v>
      </c>
      <c r="B6" s="100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9" t="s">
        <v>18</v>
      </c>
      <c r="I6" s="84"/>
      <c r="J6" s="67" t="s">
        <v>155</v>
      </c>
      <c r="K6" s="80" t="s">
        <v>155</v>
      </c>
      <c r="L6" s="18" t="s">
        <v>5</v>
      </c>
      <c r="M6" s="100" t="s">
        <v>8</v>
      </c>
      <c r="N6" s="18" t="s">
        <v>9</v>
      </c>
      <c r="O6" s="18" t="s">
        <v>10</v>
      </c>
    </row>
    <row r="7" spans="1:15" ht="16.5" thickBot="1" x14ac:dyDescent="0.3">
      <c r="A7" s="21" t="s">
        <v>11</v>
      </c>
      <c r="B7" s="101"/>
      <c r="C7" s="21" t="s">
        <v>12</v>
      </c>
      <c r="D7" s="22" t="s">
        <v>13</v>
      </c>
      <c r="E7" s="22" t="s">
        <v>14</v>
      </c>
      <c r="F7" s="22" t="s">
        <v>13</v>
      </c>
      <c r="G7" s="22" t="s">
        <v>14</v>
      </c>
      <c r="H7" s="22" t="s">
        <v>13</v>
      </c>
      <c r="I7" s="23" t="s">
        <v>14</v>
      </c>
      <c r="J7" s="68" t="s">
        <v>13</v>
      </c>
      <c r="K7" s="81" t="s">
        <v>14</v>
      </c>
      <c r="L7" s="21" t="s">
        <v>15</v>
      </c>
      <c r="M7" s="101"/>
      <c r="N7" s="21" t="s">
        <v>16</v>
      </c>
      <c r="O7" s="21" t="s">
        <v>17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9"/>
      <c r="K8" s="69"/>
      <c r="L8" s="25"/>
      <c r="M8" s="25"/>
      <c r="N8" s="25"/>
      <c r="O8" s="26"/>
    </row>
    <row r="9" spans="1:15" ht="15.95" customHeight="1" x14ac:dyDescent="0.25">
      <c r="A9" s="27"/>
      <c r="B9" s="27" t="s">
        <v>187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19</v>
      </c>
      <c r="B10" s="31" t="s">
        <v>188</v>
      </c>
      <c r="C10" s="30">
        <v>33000</v>
      </c>
      <c r="D10" s="30"/>
      <c r="E10" s="30"/>
      <c r="F10" s="30"/>
      <c r="G10" s="30"/>
      <c r="H10" s="30"/>
      <c r="I10" s="30"/>
      <c r="J10" s="46"/>
      <c r="K10" s="46"/>
      <c r="L10" s="30">
        <f t="shared" ref="L10:L22" si="0">C10+D10-E10+F10-G10+J10-K10</f>
        <v>33000</v>
      </c>
      <c r="M10" s="30">
        <f>13600+7600+600+400</f>
        <v>22200</v>
      </c>
      <c r="N10" s="30">
        <f t="shared" ref="N10:N22" si="1">L10-M10</f>
        <v>10800</v>
      </c>
      <c r="O10" s="29">
        <f>M10/$M$26</f>
        <v>1.247121025326281E-2</v>
      </c>
    </row>
    <row r="11" spans="1:15" ht="15.95" hidden="1" customHeight="1" x14ac:dyDescent="0.25">
      <c r="A11" s="31" t="s">
        <v>29</v>
      </c>
      <c r="B11" s="31" t="s">
        <v>30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si="0"/>
        <v>0</v>
      </c>
      <c r="M11" s="30">
        <v>0</v>
      </c>
      <c r="N11" s="30">
        <v>0</v>
      </c>
      <c r="O11" s="29"/>
    </row>
    <row r="12" spans="1:15" ht="15.95" customHeight="1" x14ac:dyDescent="0.25">
      <c r="A12" s="31" t="s">
        <v>20</v>
      </c>
      <c r="B12" s="31" t="s">
        <v>189</v>
      </c>
      <c r="C12" s="30">
        <v>25000</v>
      </c>
      <c r="D12" s="30"/>
      <c r="E12" s="30"/>
      <c r="F12" s="30"/>
      <c r="G12" s="30"/>
      <c r="H12" s="30"/>
      <c r="I12" s="30"/>
      <c r="J12" s="46"/>
      <c r="K12" s="46"/>
      <c r="L12" s="30">
        <f t="shared" si="0"/>
        <v>25000</v>
      </c>
      <c r="M12" s="30">
        <f>400.4+1360+750</f>
        <v>2510.4</v>
      </c>
      <c r="N12" s="30">
        <f t="shared" si="1"/>
        <v>22489.599999999999</v>
      </c>
      <c r="O12" s="29">
        <f>M12/$M$26</f>
        <v>1.4102579378284217E-3</v>
      </c>
    </row>
    <row r="13" spans="1:15" ht="15.95" customHeight="1" x14ac:dyDescent="0.25">
      <c r="A13" s="31" t="s">
        <v>21</v>
      </c>
      <c r="B13" s="31" t="s">
        <v>190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0"/>
        <v>3500</v>
      </c>
      <c r="M13" s="30">
        <v>0</v>
      </c>
      <c r="N13" s="30">
        <f t="shared" si="1"/>
        <v>3500</v>
      </c>
      <c r="O13" s="29">
        <f>M13/$M$26</f>
        <v>0</v>
      </c>
    </row>
    <row r="14" spans="1:15" ht="15.95" customHeight="1" x14ac:dyDescent="0.25">
      <c r="A14" s="31"/>
      <c r="B14" s="27" t="s">
        <v>191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192</v>
      </c>
      <c r="B15" s="31" t="s">
        <v>245</v>
      </c>
      <c r="C15" s="30">
        <v>3300</v>
      </c>
      <c r="D15" s="30"/>
      <c r="E15" s="30"/>
      <c r="F15" s="30"/>
      <c r="G15" s="30"/>
      <c r="H15" s="30"/>
      <c r="I15" s="30"/>
      <c r="J15" s="46"/>
      <c r="K15" s="46"/>
      <c r="L15" s="30">
        <f t="shared" si="0"/>
        <v>3300</v>
      </c>
      <c r="M15" s="30">
        <f>471.37+563.88+670.99+877.82+980.93</f>
        <v>3564.99</v>
      </c>
      <c r="N15" s="30">
        <f t="shared" si="1"/>
        <v>-264.98999999999978</v>
      </c>
      <c r="O15" s="29">
        <f>M15/$M$26</f>
        <v>2.002690983818891E-3</v>
      </c>
    </row>
    <row r="16" spans="1:15" ht="15.95" customHeight="1" x14ac:dyDescent="0.25">
      <c r="A16" s="27" t="s">
        <v>242</v>
      </c>
      <c r="B16" s="27" t="s">
        <v>243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244</v>
      </c>
      <c r="B17" s="27" t="s">
        <v>241</v>
      </c>
      <c r="C17" s="89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22</v>
      </c>
      <c r="B18" s="31" t="s">
        <v>23</v>
      </c>
      <c r="C18" s="30">
        <v>2996512.52</v>
      </c>
      <c r="D18" s="30"/>
      <c r="E18" s="30"/>
      <c r="F18" s="30"/>
      <c r="G18" s="30"/>
      <c r="H18" s="30"/>
      <c r="I18" s="30"/>
      <c r="J18" s="46"/>
      <c r="K18" s="46"/>
      <c r="L18" s="30">
        <f t="shared" si="0"/>
        <v>2996512.52</v>
      </c>
      <c r="M18" s="30">
        <f>355870+247708.11+247708.11+247708.11+227292.61</f>
        <v>1326286.94</v>
      </c>
      <c r="N18" s="30">
        <f t="shared" si="1"/>
        <v>1670225.58</v>
      </c>
      <c r="O18" s="29">
        <f>M18/$M$26</f>
        <v>0.7450632110313764</v>
      </c>
    </row>
    <row r="19" spans="1:15" ht="15.95" hidden="1" customHeight="1" x14ac:dyDescent="0.25">
      <c r="A19" s="31" t="s">
        <v>24</v>
      </c>
      <c r="B19" s="31" t="s">
        <v>32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0"/>
        <v>0</v>
      </c>
      <c r="M19" s="30">
        <v>0</v>
      </c>
      <c r="N19" s="30">
        <f t="shared" si="1"/>
        <v>0</v>
      </c>
      <c r="O19" s="29">
        <f>M19/$M$26</f>
        <v>0</v>
      </c>
    </row>
    <row r="20" spans="1:15" ht="15.95" customHeight="1" x14ac:dyDescent="0.25">
      <c r="A20" s="31" t="s">
        <v>25</v>
      </c>
      <c r="B20" s="31" t="s">
        <v>26</v>
      </c>
      <c r="C20" s="30">
        <v>1809978.55</v>
      </c>
      <c r="D20" s="30"/>
      <c r="E20" s="30"/>
      <c r="F20" s="30"/>
      <c r="G20" s="30"/>
      <c r="H20" s="30"/>
      <c r="I20" s="30"/>
      <c r="J20" s="46"/>
      <c r="K20" s="46"/>
      <c r="L20" s="30">
        <f t="shared" si="0"/>
        <v>1809978.55</v>
      </c>
      <c r="M20" s="30">
        <f>351172.36+20685</f>
        <v>371857.36</v>
      </c>
      <c r="N20" s="30">
        <f t="shared" si="1"/>
        <v>1438121.19</v>
      </c>
      <c r="O20" s="29">
        <f>M20/$M$26</f>
        <v>0.20889690634158739</v>
      </c>
    </row>
    <row r="21" spans="1:15" ht="15.95" customHeight="1" x14ac:dyDescent="0.25">
      <c r="A21" s="31" t="s">
        <v>27</v>
      </c>
      <c r="B21" s="31" t="s">
        <v>28</v>
      </c>
      <c r="C21" s="30">
        <v>20000</v>
      </c>
      <c r="D21" s="30"/>
      <c r="E21" s="30"/>
      <c r="F21" s="30"/>
      <c r="G21" s="30"/>
      <c r="H21" s="30"/>
      <c r="I21" s="30"/>
      <c r="J21" s="46"/>
      <c r="K21" s="46"/>
      <c r="L21" s="30">
        <f t="shared" si="0"/>
        <v>20000</v>
      </c>
      <c r="M21" s="30">
        <v>0</v>
      </c>
      <c r="N21" s="30">
        <f t="shared" si="1"/>
        <v>20000</v>
      </c>
      <c r="O21" s="29">
        <f>M21/$M$26</f>
        <v>0</v>
      </c>
    </row>
    <row r="22" spans="1:15" ht="15.95" customHeight="1" x14ac:dyDescent="0.25">
      <c r="A22" s="32" t="s">
        <v>31</v>
      </c>
      <c r="B22" s="32" t="s">
        <v>33</v>
      </c>
      <c r="C22" s="33">
        <v>239501.9</v>
      </c>
      <c r="D22" s="33"/>
      <c r="E22" s="33"/>
      <c r="F22" s="33"/>
      <c r="G22" s="33"/>
      <c r="H22" s="33"/>
      <c r="I22" s="33"/>
      <c r="J22" s="70"/>
      <c r="K22" s="70"/>
      <c r="L22" s="30">
        <f t="shared" si="0"/>
        <v>239501.9</v>
      </c>
      <c r="M22" s="30">
        <v>53680.2</v>
      </c>
      <c r="N22" s="30">
        <f t="shared" si="1"/>
        <v>185821.7</v>
      </c>
      <c r="O22" s="29">
        <f>M22/$M$26</f>
        <v>3.0155723452126051E-2</v>
      </c>
    </row>
    <row r="23" spans="1:15" ht="15.95" customHeight="1" x14ac:dyDescent="0.25">
      <c r="A23" s="27"/>
      <c r="B23" s="27" t="s">
        <v>193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30"/>
      <c r="N23" s="28"/>
      <c r="O23" s="29"/>
    </row>
    <row r="24" spans="1:15" ht="15.95" customHeight="1" x14ac:dyDescent="0.25">
      <c r="A24" s="31" t="s">
        <v>196</v>
      </c>
      <c r="B24" s="31" t="s">
        <v>197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>
        <v>0</v>
      </c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195</v>
      </c>
      <c r="B25" s="31" t="s">
        <v>194</v>
      </c>
      <c r="C25" s="30">
        <v>1025276.81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1025276.81</v>
      </c>
      <c r="M25" s="30"/>
      <c r="N25" s="30">
        <f>L25-M25</f>
        <v>1025276.81</v>
      </c>
      <c r="O25" s="29">
        <f>M25/$M$26</f>
        <v>0</v>
      </c>
    </row>
    <row r="26" spans="1:15" ht="18" customHeight="1" thickBot="1" x14ac:dyDescent="0.3">
      <c r="A26" s="34"/>
      <c r="B26" s="35" t="s">
        <v>34</v>
      </c>
      <c r="C26" s="36">
        <f>SUM(C9:C25)</f>
        <v>6416776.6100000013</v>
      </c>
      <c r="D26" s="36">
        <f t="shared" ref="D26:N26" si="2">SUM(D9:D25)</f>
        <v>0</v>
      </c>
      <c r="E26" s="36">
        <f t="shared" si="2"/>
        <v>0</v>
      </c>
      <c r="F26" s="36">
        <f t="shared" si="2"/>
        <v>0</v>
      </c>
      <c r="G26" s="36">
        <f t="shared" si="2"/>
        <v>0</v>
      </c>
      <c r="H26" s="36">
        <f t="shared" si="2"/>
        <v>0</v>
      </c>
      <c r="I26" s="36">
        <f t="shared" si="2"/>
        <v>0</v>
      </c>
      <c r="J26" s="36">
        <f t="shared" si="2"/>
        <v>0</v>
      </c>
      <c r="K26" s="36">
        <f t="shared" si="2"/>
        <v>0</v>
      </c>
      <c r="L26" s="36">
        <f t="shared" si="2"/>
        <v>6416776.6100000013</v>
      </c>
      <c r="M26" s="36">
        <f t="shared" si="2"/>
        <v>1780099.89</v>
      </c>
      <c r="N26" s="36">
        <f t="shared" si="2"/>
        <v>4636676.7200000007</v>
      </c>
      <c r="O26" s="29"/>
    </row>
    <row r="27" spans="1:15" ht="15.95" customHeight="1" x14ac:dyDescent="0.2">
      <c r="A27" s="37"/>
      <c r="B27" s="37"/>
      <c r="C27" s="38">
        <f>6416776.61-C26</f>
        <v>0</v>
      </c>
      <c r="D27" s="38"/>
      <c r="E27" s="38"/>
      <c r="F27" s="38"/>
      <c r="G27" s="38"/>
      <c r="H27" s="38"/>
      <c r="I27" s="38"/>
      <c r="J27" s="69"/>
      <c r="K27" s="69"/>
      <c r="L27" s="38"/>
      <c r="M27" s="38"/>
      <c r="N27" s="38"/>
      <c r="O27" s="39"/>
    </row>
    <row r="28" spans="1:15" ht="15.95" customHeight="1" x14ac:dyDescent="0.25">
      <c r="A28" s="27" t="s">
        <v>35</v>
      </c>
      <c r="B28" s="27" t="s">
        <v>36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37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38</v>
      </c>
      <c r="B31" s="31" t="s">
        <v>159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v>316476.5</v>
      </c>
      <c r="N31" s="30">
        <f t="shared" ref="N31:N95" si="3">L31-M31</f>
        <v>468095.54000000004</v>
      </c>
      <c r="O31" s="40">
        <f t="shared" ref="O31:O40" si="4">M31/$M$134</f>
        <v>0.24489643396499453</v>
      </c>
    </row>
    <row r="32" spans="1:15" ht="15.95" customHeight="1" x14ac:dyDescent="0.2">
      <c r="A32" s="43" t="s">
        <v>39</v>
      </c>
      <c r="B32" s="31" t="s">
        <v>160</v>
      </c>
      <c r="C32" s="30">
        <v>4500</v>
      </c>
      <c r="D32" s="30"/>
      <c r="E32" s="30"/>
      <c r="F32" s="46"/>
      <c r="G32" s="46"/>
      <c r="H32" s="30"/>
      <c r="I32" s="30"/>
      <c r="J32" s="46"/>
      <c r="K32" s="46"/>
      <c r="L32" s="30">
        <f t="shared" ref="L32:L40" si="5">C32+D32-E32+F32-G32+H32-I32+J32-K32</f>
        <v>4500</v>
      </c>
      <c r="M32" s="30">
        <v>2625</v>
      </c>
      <c r="N32" s="30">
        <f t="shared" si="3"/>
        <v>1875</v>
      </c>
      <c r="O32" s="40">
        <f t="shared" si="4"/>
        <v>2.0312823832357558E-3</v>
      </c>
    </row>
    <row r="33" spans="1:15" ht="15.95" customHeight="1" x14ac:dyDescent="0.2">
      <c r="A33" s="43" t="s">
        <v>40</v>
      </c>
      <c r="B33" s="31" t="s">
        <v>161</v>
      </c>
      <c r="C33" s="30">
        <v>281100</v>
      </c>
      <c r="D33" s="30"/>
      <c r="E33" s="30"/>
      <c r="F33" s="46"/>
      <c r="G33" s="46"/>
      <c r="H33" s="30"/>
      <c r="I33" s="30"/>
      <c r="J33" s="46"/>
      <c r="K33" s="46"/>
      <c r="L33" s="30">
        <f t="shared" si="5"/>
        <v>281100</v>
      </c>
      <c r="M33" s="30">
        <v>109023.97</v>
      </c>
      <c r="N33" s="30">
        <f t="shared" si="3"/>
        <v>172076.03</v>
      </c>
      <c r="O33" s="40">
        <f t="shared" si="4"/>
        <v>8.4365131280542294E-2</v>
      </c>
    </row>
    <row r="34" spans="1:15" ht="15.95" customHeight="1" x14ac:dyDescent="0.2">
      <c r="A34" s="43" t="s">
        <v>41</v>
      </c>
      <c r="B34" s="31" t="s">
        <v>42</v>
      </c>
      <c r="C34" s="30">
        <v>17500</v>
      </c>
      <c r="D34" s="30"/>
      <c r="E34" s="30"/>
      <c r="F34" s="46"/>
      <c r="G34" s="46"/>
      <c r="H34" s="30"/>
      <c r="I34" s="30"/>
      <c r="J34" s="46"/>
      <c r="K34" s="46"/>
      <c r="L34" s="30">
        <f t="shared" si="5"/>
        <v>17500</v>
      </c>
      <c r="M34" s="30">
        <v>0</v>
      </c>
      <c r="N34" s="30">
        <f t="shared" si="3"/>
        <v>17500</v>
      </c>
      <c r="O34" s="40">
        <f t="shared" si="4"/>
        <v>0</v>
      </c>
    </row>
    <row r="35" spans="1:15" ht="15.95" customHeight="1" x14ac:dyDescent="0.2">
      <c r="A35" s="43" t="s">
        <v>43</v>
      </c>
      <c r="B35" s="31" t="s">
        <v>162</v>
      </c>
      <c r="C35" s="30">
        <v>34510.800000000003</v>
      </c>
      <c r="D35" s="30"/>
      <c r="E35" s="30"/>
      <c r="F35" s="46"/>
      <c r="G35" s="46"/>
      <c r="H35" s="30"/>
      <c r="I35" s="30"/>
      <c r="J35" s="46"/>
      <c r="K35" s="46"/>
      <c r="L35" s="30">
        <f t="shared" si="5"/>
        <v>34510.800000000003</v>
      </c>
      <c r="M35" s="30">
        <v>7079.65</v>
      </c>
      <c r="N35" s="30">
        <f t="shared" si="3"/>
        <v>27431.15</v>
      </c>
      <c r="O35" s="40">
        <f t="shared" si="4"/>
        <v>5.4783879331333392E-3</v>
      </c>
    </row>
    <row r="36" spans="1:15" ht="15.95" customHeight="1" x14ac:dyDescent="0.2">
      <c r="A36" s="43" t="s">
        <v>44</v>
      </c>
      <c r="B36" s="31" t="s">
        <v>163</v>
      </c>
      <c r="C36" s="30">
        <v>87401.15</v>
      </c>
      <c r="D36" s="30"/>
      <c r="E36" s="30"/>
      <c r="F36" s="46"/>
      <c r="G36" s="46"/>
      <c r="H36" s="30"/>
      <c r="I36" s="30"/>
      <c r="J36" s="46"/>
      <c r="K36" s="46"/>
      <c r="L36" s="30">
        <f t="shared" si="5"/>
        <v>87401.15</v>
      </c>
      <c r="M36" s="30">
        <v>34920.239999999998</v>
      </c>
      <c r="N36" s="30">
        <f t="shared" si="3"/>
        <v>52480.909999999996</v>
      </c>
      <c r="O36" s="40">
        <f t="shared" si="4"/>
        <v>2.7022045078234119E-2</v>
      </c>
    </row>
    <row r="37" spans="1:15" ht="15.95" customHeight="1" x14ac:dyDescent="0.2">
      <c r="A37" s="43" t="s">
        <v>45</v>
      </c>
      <c r="B37" s="31" t="s">
        <v>164</v>
      </c>
      <c r="C37" s="30">
        <v>8190.84</v>
      </c>
      <c r="D37" s="30"/>
      <c r="E37" s="30"/>
      <c r="F37" s="46"/>
      <c r="G37" s="46"/>
      <c r="H37" s="30"/>
      <c r="I37" s="30"/>
      <c r="J37" s="46"/>
      <c r="K37" s="46"/>
      <c r="L37" s="30">
        <f t="shared" si="5"/>
        <v>8190.84</v>
      </c>
      <c r="M37" s="30">
        <v>3272.76</v>
      </c>
      <c r="N37" s="30">
        <f t="shared" si="3"/>
        <v>4918.08</v>
      </c>
      <c r="O37" s="40">
        <f t="shared" si="4"/>
        <v>2.5325332314509149E-3</v>
      </c>
    </row>
    <row r="38" spans="1:15" ht="15.95" customHeight="1" x14ac:dyDescent="0.2">
      <c r="A38" s="43" t="s">
        <v>46</v>
      </c>
      <c r="B38" s="31" t="s">
        <v>47</v>
      </c>
      <c r="C38" s="30">
        <v>67581.009999999995</v>
      </c>
      <c r="D38" s="30"/>
      <c r="E38" s="30"/>
      <c r="F38" s="46"/>
      <c r="G38" s="46"/>
      <c r="H38" s="30"/>
      <c r="I38" s="30"/>
      <c r="J38" s="46"/>
      <c r="K38" s="46"/>
      <c r="L38" s="30">
        <f t="shared" si="5"/>
        <v>67581.009999999995</v>
      </c>
      <c r="M38" s="30">
        <v>2868.5</v>
      </c>
      <c r="N38" s="30">
        <f t="shared" si="3"/>
        <v>64712.509999999995</v>
      </c>
      <c r="O38" s="40">
        <f t="shared" si="4"/>
        <v>2.2197080062140058E-3</v>
      </c>
    </row>
    <row r="39" spans="1:15" ht="15.95" customHeight="1" x14ac:dyDescent="0.2">
      <c r="A39" s="43" t="s">
        <v>48</v>
      </c>
      <c r="B39" s="31" t="s">
        <v>165</v>
      </c>
      <c r="C39" s="30">
        <v>67581.009999999995</v>
      </c>
      <c r="D39" s="30"/>
      <c r="E39" s="30"/>
      <c r="F39" s="46"/>
      <c r="G39" s="46"/>
      <c r="H39" s="30"/>
      <c r="I39" s="30"/>
      <c r="J39" s="46"/>
      <c r="K39" s="46"/>
      <c r="L39" s="30">
        <f t="shared" si="5"/>
        <v>67581.009999999995</v>
      </c>
      <c r="M39" s="30">
        <v>6465.89</v>
      </c>
      <c r="N39" s="30">
        <f t="shared" si="3"/>
        <v>61115.119999999995</v>
      </c>
      <c r="O39" s="40">
        <f t="shared" si="4"/>
        <v>5.0034470281677106E-3</v>
      </c>
    </row>
    <row r="40" spans="1:15" ht="15.95" customHeight="1" x14ac:dyDescent="0.2">
      <c r="A40" s="43" t="s">
        <v>49</v>
      </c>
      <c r="B40" s="31" t="s">
        <v>50</v>
      </c>
      <c r="C40" s="30">
        <v>4400</v>
      </c>
      <c r="D40" s="30"/>
      <c r="E40" s="30"/>
      <c r="F40" s="46"/>
      <c r="G40" s="46"/>
      <c r="H40" s="30"/>
      <c r="I40" s="30"/>
      <c r="J40" s="46"/>
      <c r="K40" s="46"/>
      <c r="L40" s="30">
        <f t="shared" si="5"/>
        <v>4400</v>
      </c>
      <c r="M40" s="30">
        <v>99.73</v>
      </c>
      <c r="N40" s="30">
        <f t="shared" si="3"/>
        <v>4300.2700000000004</v>
      </c>
      <c r="O40" s="40">
        <f t="shared" si="4"/>
        <v>7.7173254125753103E-5</v>
      </c>
    </row>
    <row r="41" spans="1:15" ht="15.95" customHeight="1" x14ac:dyDescent="0.2">
      <c r="A41" s="43"/>
      <c r="B41" s="31"/>
      <c r="C41" s="30"/>
      <c r="D41" s="30"/>
      <c r="E41" s="30"/>
      <c r="F41" s="46"/>
      <c r="G41" s="46"/>
      <c r="H41" s="30"/>
      <c r="I41" s="30"/>
      <c r="J41" s="46"/>
      <c r="K41" s="46"/>
      <c r="L41" s="30"/>
      <c r="M41" s="30"/>
      <c r="N41" s="30"/>
      <c r="O41" s="40"/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5">
      <c r="A43" s="41">
        <v>1</v>
      </c>
      <c r="B43" s="42" t="s">
        <v>51</v>
      </c>
      <c r="C43" s="28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">
      <c r="A44" s="43" t="s">
        <v>96</v>
      </c>
      <c r="B44" s="31" t="s">
        <v>52</v>
      </c>
      <c r="C44" s="30">
        <v>13750</v>
      </c>
      <c r="D44" s="30"/>
      <c r="E44" s="30"/>
      <c r="F44" s="46"/>
      <c r="G44" s="46"/>
      <c r="H44" s="30"/>
      <c r="I44" s="30"/>
      <c r="J44" s="46"/>
      <c r="K44" s="46"/>
      <c r="L44" s="30">
        <f t="shared" ref="L44:L75" si="6">C44+D44-E44+F44-G44+H44-I44+J44-K44</f>
        <v>13750</v>
      </c>
      <c r="M44" s="30">
        <v>2556.65</v>
      </c>
      <c r="N44" s="30">
        <f t="shared" si="3"/>
        <v>11193.35</v>
      </c>
      <c r="O44" s="40">
        <f t="shared" ref="O44:O75" si="7">M44/$M$134</f>
        <v>1.9783916590855981E-3</v>
      </c>
    </row>
    <row r="45" spans="1:15" ht="15.95" customHeight="1" x14ac:dyDescent="0.2">
      <c r="A45" s="43" t="s">
        <v>97</v>
      </c>
      <c r="B45" s="31" t="s">
        <v>53</v>
      </c>
      <c r="C45" s="30">
        <v>26100</v>
      </c>
      <c r="D45" s="30"/>
      <c r="E45" s="30"/>
      <c r="F45" s="46"/>
      <c r="G45" s="46"/>
      <c r="H45" s="30"/>
      <c r="I45" s="30"/>
      <c r="J45" s="46"/>
      <c r="K45" s="46"/>
      <c r="L45" s="30">
        <f t="shared" si="6"/>
        <v>26100</v>
      </c>
      <c r="M45" s="30">
        <v>9920.5400000000009</v>
      </c>
      <c r="N45" s="30">
        <f t="shared" si="3"/>
        <v>16179.46</v>
      </c>
      <c r="O45" s="40">
        <f t="shared" si="7"/>
        <v>7.6767307177850073E-3</v>
      </c>
    </row>
    <row r="46" spans="1:15" ht="15.95" customHeight="1" x14ac:dyDescent="0.2">
      <c r="A46" s="43" t="s">
        <v>98</v>
      </c>
      <c r="B46" s="31" t="s">
        <v>54</v>
      </c>
      <c r="C46" s="30">
        <v>2000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2000</v>
      </c>
      <c r="M46" s="30">
        <v>135</v>
      </c>
      <c r="N46" s="30">
        <f t="shared" si="3"/>
        <v>1865</v>
      </c>
      <c r="O46" s="40">
        <f t="shared" si="7"/>
        <v>1.0446595113783886E-4</v>
      </c>
    </row>
    <row r="47" spans="1:15" ht="15.95" customHeight="1" x14ac:dyDescent="0.2">
      <c r="A47" s="43" t="s">
        <v>99</v>
      </c>
      <c r="B47" s="31" t="s">
        <v>166</v>
      </c>
      <c r="C47" s="30">
        <v>8000</v>
      </c>
      <c r="D47" s="30"/>
      <c r="E47" s="30"/>
      <c r="F47" s="46"/>
      <c r="G47" s="46"/>
      <c r="H47" s="30"/>
      <c r="I47" s="30"/>
      <c r="J47" s="46"/>
      <c r="K47" s="46"/>
      <c r="L47" s="30">
        <f t="shared" si="6"/>
        <v>8000</v>
      </c>
      <c r="M47" s="30">
        <v>5119.6099999999997</v>
      </c>
      <c r="N47" s="30">
        <f t="shared" si="3"/>
        <v>2880.3900000000003</v>
      </c>
      <c r="O47" s="40">
        <f t="shared" si="7"/>
        <v>3.9616661341095646E-3</v>
      </c>
    </row>
    <row r="48" spans="1:15" ht="15.95" customHeight="1" x14ac:dyDescent="0.2">
      <c r="A48" s="43" t="s">
        <v>100</v>
      </c>
      <c r="B48" s="31" t="s">
        <v>167</v>
      </c>
      <c r="C48" s="30">
        <v>14250</v>
      </c>
      <c r="D48" s="30"/>
      <c r="E48" s="30"/>
      <c r="F48" s="46"/>
      <c r="G48" s="46"/>
      <c r="H48" s="30"/>
      <c r="I48" s="30"/>
      <c r="J48" s="46"/>
      <c r="K48" s="46"/>
      <c r="L48" s="30">
        <f t="shared" si="6"/>
        <v>14250</v>
      </c>
      <c r="M48" s="30">
        <v>494.75</v>
      </c>
      <c r="N48" s="30">
        <f t="shared" si="3"/>
        <v>13755.25</v>
      </c>
      <c r="O48" s="40">
        <f t="shared" si="7"/>
        <v>3.8284836537367243E-4</v>
      </c>
    </row>
    <row r="49" spans="1:15" ht="15.95" customHeight="1" x14ac:dyDescent="0.2">
      <c r="A49" s="43" t="s">
        <v>101</v>
      </c>
      <c r="B49" s="31" t="s">
        <v>168</v>
      </c>
      <c r="C49" s="30">
        <v>1176868.53</v>
      </c>
      <c r="D49" s="30"/>
      <c r="E49" s="30">
        <v>129000</v>
      </c>
      <c r="F49" s="46"/>
      <c r="G49" s="46"/>
      <c r="H49" s="30"/>
      <c r="I49" s="30"/>
      <c r="J49" s="46"/>
      <c r="K49" s="46"/>
      <c r="L49" s="30">
        <f t="shared" si="6"/>
        <v>1047868.53</v>
      </c>
      <c r="M49" s="30">
        <v>242364.35</v>
      </c>
      <c r="N49" s="30">
        <f t="shared" si="3"/>
        <v>805504.18</v>
      </c>
      <c r="O49" s="40">
        <f t="shared" si="7"/>
        <v>0.18754683218262277</v>
      </c>
    </row>
    <row r="50" spans="1:15" ht="15.95" customHeight="1" x14ac:dyDescent="0.2">
      <c r="A50" s="43" t="s">
        <v>102</v>
      </c>
      <c r="B50" s="31" t="s">
        <v>55</v>
      </c>
      <c r="C50" s="30">
        <v>619609.80000000005</v>
      </c>
      <c r="D50" s="30"/>
      <c r="E50" s="30"/>
      <c r="F50" s="46"/>
      <c r="G50" s="46"/>
      <c r="H50" s="30"/>
      <c r="I50" s="30"/>
      <c r="J50" s="46"/>
      <c r="K50" s="46"/>
      <c r="L50" s="30">
        <f t="shared" si="6"/>
        <v>619609.80000000005</v>
      </c>
      <c r="M50" s="30">
        <v>77764.509999999995</v>
      </c>
      <c r="N50" s="30">
        <f t="shared" si="3"/>
        <v>541845.29</v>
      </c>
      <c r="O50" s="40">
        <f t="shared" si="7"/>
        <v>6.0175877791985043E-2</v>
      </c>
    </row>
    <row r="51" spans="1:15" ht="15.95" customHeight="1" x14ac:dyDescent="0.2">
      <c r="A51" s="43" t="s">
        <v>103</v>
      </c>
      <c r="B51" s="31" t="s">
        <v>169</v>
      </c>
      <c r="C51" s="30">
        <v>504047.6</v>
      </c>
      <c r="D51" s="30"/>
      <c r="E51" s="30"/>
      <c r="F51" s="46"/>
      <c r="G51" s="46"/>
      <c r="H51" s="30"/>
      <c r="I51" s="30"/>
      <c r="J51" s="46"/>
      <c r="K51" s="46"/>
      <c r="L51" s="30">
        <f t="shared" si="6"/>
        <v>504047.6</v>
      </c>
      <c r="M51" s="30">
        <v>161379.76</v>
      </c>
      <c r="N51" s="30">
        <f t="shared" si="3"/>
        <v>342667.83999999997</v>
      </c>
      <c r="O51" s="40">
        <f t="shared" si="7"/>
        <v>0.12487918609478639</v>
      </c>
    </row>
    <row r="52" spans="1:15" ht="15.95" customHeight="1" x14ac:dyDescent="0.2">
      <c r="A52" s="43" t="s">
        <v>104</v>
      </c>
      <c r="B52" s="31" t="s">
        <v>56</v>
      </c>
      <c r="C52" s="30">
        <v>20750</v>
      </c>
      <c r="D52" s="30"/>
      <c r="E52" s="30"/>
      <c r="F52" s="46"/>
      <c r="G52" s="46"/>
      <c r="H52" s="30"/>
      <c r="I52" s="30"/>
      <c r="J52" s="46"/>
      <c r="K52" s="46"/>
      <c r="L52" s="30">
        <f t="shared" si="6"/>
        <v>20750</v>
      </c>
      <c r="M52" s="30">
        <v>7670.83</v>
      </c>
      <c r="N52" s="30">
        <f t="shared" si="3"/>
        <v>13079.17</v>
      </c>
      <c r="O52" s="40">
        <f t="shared" si="7"/>
        <v>5.9358559404938402E-3</v>
      </c>
    </row>
    <row r="53" spans="1:15" ht="15.95" customHeight="1" x14ac:dyDescent="0.2">
      <c r="A53" s="43" t="s">
        <v>105</v>
      </c>
      <c r="B53" s="31" t="s">
        <v>57</v>
      </c>
      <c r="C53" s="30">
        <v>42500</v>
      </c>
      <c r="D53" s="30"/>
      <c r="E53" s="30"/>
      <c r="F53" s="46"/>
      <c r="G53" s="46"/>
      <c r="H53" s="30"/>
      <c r="I53" s="30"/>
      <c r="J53" s="46"/>
      <c r="K53" s="46"/>
      <c r="L53" s="30">
        <f t="shared" si="6"/>
        <v>42500</v>
      </c>
      <c r="M53" s="30">
        <v>500</v>
      </c>
      <c r="N53" s="30">
        <f t="shared" si="3"/>
        <v>42000</v>
      </c>
      <c r="O53" s="40">
        <f t="shared" si="7"/>
        <v>3.8691093014014391E-4</v>
      </c>
    </row>
    <row r="54" spans="1:15" ht="15.95" customHeight="1" x14ac:dyDescent="0.2">
      <c r="A54" s="43" t="s">
        <v>106</v>
      </c>
      <c r="B54" s="31" t="s">
        <v>58</v>
      </c>
      <c r="C54" s="30">
        <v>4400</v>
      </c>
      <c r="D54" s="30"/>
      <c r="E54" s="30"/>
      <c r="F54" s="46"/>
      <c r="G54" s="46"/>
      <c r="H54" s="30"/>
      <c r="I54" s="30"/>
      <c r="J54" s="46"/>
      <c r="K54" s="46"/>
      <c r="L54" s="30">
        <f t="shared" si="6"/>
        <v>4400</v>
      </c>
      <c r="M54" s="30">
        <v>1620</v>
      </c>
      <c r="N54" s="30">
        <f t="shared" si="3"/>
        <v>2780</v>
      </c>
      <c r="O54" s="40">
        <f t="shared" si="7"/>
        <v>1.2535914136540664E-3</v>
      </c>
    </row>
    <row r="55" spans="1:15" ht="15.95" customHeight="1" x14ac:dyDescent="0.2">
      <c r="A55" s="43" t="s">
        <v>107</v>
      </c>
      <c r="B55" s="31" t="s">
        <v>170</v>
      </c>
      <c r="C55" s="30">
        <v>3004.32</v>
      </c>
      <c r="D55" s="30"/>
      <c r="E55" s="30"/>
      <c r="F55" s="46"/>
      <c r="G55" s="46"/>
      <c r="H55" s="30"/>
      <c r="I55" s="30"/>
      <c r="J55" s="46"/>
      <c r="K55" s="46"/>
      <c r="L55" s="30">
        <f t="shared" si="6"/>
        <v>3004.32</v>
      </c>
      <c r="M55" s="30">
        <v>630</v>
      </c>
      <c r="N55" s="30">
        <f t="shared" si="3"/>
        <v>2374.3200000000002</v>
      </c>
      <c r="O55" s="40">
        <f t="shared" si="7"/>
        <v>4.8750777197658133E-4</v>
      </c>
    </row>
    <row r="56" spans="1:15" ht="15.95" customHeight="1" x14ac:dyDescent="0.2">
      <c r="A56" s="43" t="s">
        <v>108</v>
      </c>
      <c r="B56" s="31" t="s">
        <v>171</v>
      </c>
      <c r="C56" s="30">
        <v>7750</v>
      </c>
      <c r="D56" s="30"/>
      <c r="E56" s="30"/>
      <c r="F56" s="46"/>
      <c r="G56" s="46"/>
      <c r="H56" s="30"/>
      <c r="I56" s="30"/>
      <c r="J56" s="46"/>
      <c r="K56" s="46"/>
      <c r="L56" s="30">
        <f t="shared" si="6"/>
        <v>7750</v>
      </c>
      <c r="M56" s="30">
        <v>0</v>
      </c>
      <c r="N56" s="30">
        <f t="shared" si="3"/>
        <v>7750</v>
      </c>
      <c r="O56" s="40">
        <f t="shared" si="7"/>
        <v>0</v>
      </c>
    </row>
    <row r="57" spans="1:15" ht="15.95" customHeight="1" x14ac:dyDescent="0.2">
      <c r="A57" s="43" t="s">
        <v>109</v>
      </c>
      <c r="B57" s="31" t="s">
        <v>172</v>
      </c>
      <c r="C57" s="30">
        <v>7000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7000</v>
      </c>
      <c r="M57" s="30">
        <v>263.2</v>
      </c>
      <c r="N57" s="30">
        <f t="shared" si="3"/>
        <v>6736.8</v>
      </c>
      <c r="O57" s="40">
        <f t="shared" si="7"/>
        <v>2.0366991362577176E-4</v>
      </c>
    </row>
    <row r="58" spans="1:15" ht="15.95" customHeight="1" x14ac:dyDescent="0.2">
      <c r="A58" s="43" t="s">
        <v>110</v>
      </c>
      <c r="B58" s="31" t="s">
        <v>173</v>
      </c>
      <c r="C58" s="30">
        <v>4000</v>
      </c>
      <c r="D58" s="30"/>
      <c r="E58" s="30"/>
      <c r="F58" s="46"/>
      <c r="G58" s="46"/>
      <c r="H58" s="30"/>
      <c r="I58" s="30"/>
      <c r="J58" s="46"/>
      <c r="K58" s="46"/>
      <c r="L58" s="30">
        <f t="shared" si="6"/>
        <v>4000</v>
      </c>
      <c r="M58" s="30">
        <v>1335</v>
      </c>
      <c r="N58" s="30">
        <f t="shared" si="3"/>
        <v>2665</v>
      </c>
      <c r="O58" s="40">
        <f t="shared" si="7"/>
        <v>1.0330521834741842E-3</v>
      </c>
    </row>
    <row r="59" spans="1:15" ht="15.95" hidden="1" customHeight="1" x14ac:dyDescent="0.2">
      <c r="A59" s="43" t="s">
        <v>111</v>
      </c>
      <c r="B59" s="31" t="s">
        <v>174</v>
      </c>
      <c r="C59" s="30"/>
      <c r="D59" s="30"/>
      <c r="E59" s="30"/>
      <c r="F59" s="46"/>
      <c r="G59" s="46"/>
      <c r="H59" s="30"/>
      <c r="I59" s="30"/>
      <c r="J59" s="46"/>
      <c r="K59" s="46"/>
      <c r="L59" s="30">
        <f t="shared" si="6"/>
        <v>0</v>
      </c>
      <c r="M59" s="30">
        <v>0</v>
      </c>
      <c r="N59" s="30">
        <f t="shared" si="3"/>
        <v>0</v>
      </c>
      <c r="O59" s="40">
        <f t="shared" si="7"/>
        <v>0</v>
      </c>
    </row>
    <row r="60" spans="1:15" ht="15.95" customHeight="1" x14ac:dyDescent="0.2">
      <c r="A60" s="43" t="s">
        <v>112</v>
      </c>
      <c r="B60" s="31" t="s">
        <v>175</v>
      </c>
      <c r="C60" s="30">
        <v>9750</v>
      </c>
      <c r="D60" s="30"/>
      <c r="E60" s="30"/>
      <c r="F60" s="46"/>
      <c r="G60" s="46"/>
      <c r="H60" s="30"/>
      <c r="I60" s="30"/>
      <c r="J60" s="46"/>
      <c r="K60" s="46"/>
      <c r="L60" s="30">
        <f t="shared" si="6"/>
        <v>9750</v>
      </c>
      <c r="M60" s="30">
        <v>0</v>
      </c>
      <c r="N60" s="30">
        <f t="shared" si="3"/>
        <v>9750</v>
      </c>
      <c r="O60" s="40">
        <f t="shared" si="7"/>
        <v>0</v>
      </c>
    </row>
    <row r="61" spans="1:15" ht="15.95" customHeight="1" x14ac:dyDescent="0.2">
      <c r="A61" s="43" t="s">
        <v>113</v>
      </c>
      <c r="B61" s="31" t="s">
        <v>176</v>
      </c>
      <c r="C61" s="30">
        <v>260706.83</v>
      </c>
      <c r="D61" s="30"/>
      <c r="E61" s="30"/>
      <c r="F61" s="46"/>
      <c r="G61" s="46"/>
      <c r="H61" s="30"/>
      <c r="I61" s="30"/>
      <c r="J61" s="46"/>
      <c r="K61" s="46"/>
      <c r="L61" s="30">
        <f t="shared" si="6"/>
        <v>260706.83</v>
      </c>
      <c r="M61" s="30">
        <v>0</v>
      </c>
      <c r="N61" s="30">
        <f t="shared" si="3"/>
        <v>260706.83</v>
      </c>
      <c r="O61" s="40">
        <f t="shared" si="7"/>
        <v>0</v>
      </c>
    </row>
    <row r="62" spans="1:15" ht="15.95" customHeight="1" x14ac:dyDescent="0.2">
      <c r="A62" s="43">
        <v>182</v>
      </c>
      <c r="B62" s="31" t="s">
        <v>255</v>
      </c>
      <c r="C62" s="30">
        <v>0</v>
      </c>
      <c r="D62" s="30">
        <v>2500</v>
      </c>
      <c r="E62" s="30"/>
      <c r="F62" s="46"/>
      <c r="G62" s="46"/>
      <c r="H62" s="30"/>
      <c r="I62" s="30"/>
      <c r="J62" s="46"/>
      <c r="K62" s="46"/>
      <c r="L62" s="30">
        <f t="shared" si="6"/>
        <v>2500</v>
      </c>
      <c r="M62" s="30">
        <v>0</v>
      </c>
      <c r="N62" s="30">
        <f t="shared" si="3"/>
        <v>2500</v>
      </c>
      <c r="O62" s="40">
        <f t="shared" si="7"/>
        <v>0</v>
      </c>
    </row>
    <row r="63" spans="1:15" ht="15.95" customHeight="1" x14ac:dyDescent="0.2">
      <c r="A63" s="43" t="s">
        <v>114</v>
      </c>
      <c r="B63" s="31" t="s">
        <v>177</v>
      </c>
      <c r="C63" s="30">
        <v>15000</v>
      </c>
      <c r="D63" s="30">
        <v>12000</v>
      </c>
      <c r="E63" s="30"/>
      <c r="F63" s="46"/>
      <c r="G63" s="46"/>
      <c r="H63" s="30"/>
      <c r="I63" s="30"/>
      <c r="J63" s="46"/>
      <c r="K63" s="46"/>
      <c r="L63" s="30">
        <f t="shared" si="6"/>
        <v>27000</v>
      </c>
      <c r="M63" s="30">
        <v>4800</v>
      </c>
      <c r="N63" s="30">
        <f t="shared" si="3"/>
        <v>22200</v>
      </c>
      <c r="O63" s="40">
        <f t="shared" si="7"/>
        <v>3.7143449293453815E-3</v>
      </c>
    </row>
    <row r="64" spans="1:15" ht="15.95" customHeight="1" x14ac:dyDescent="0.2">
      <c r="A64" s="43" t="s">
        <v>115</v>
      </c>
      <c r="B64" s="31" t="s">
        <v>178</v>
      </c>
      <c r="C64" s="30">
        <v>54000</v>
      </c>
      <c r="D64" s="30"/>
      <c r="E64" s="30"/>
      <c r="F64" s="46"/>
      <c r="G64" s="46"/>
      <c r="H64" s="30"/>
      <c r="I64" s="30"/>
      <c r="J64" s="46"/>
      <c r="K64" s="46"/>
      <c r="L64" s="30">
        <f t="shared" si="6"/>
        <v>54000</v>
      </c>
      <c r="M64" s="30">
        <v>22500</v>
      </c>
      <c r="N64" s="30">
        <f t="shared" si="3"/>
        <v>31500</v>
      </c>
      <c r="O64" s="40">
        <f t="shared" si="7"/>
        <v>1.7410991856306478E-2</v>
      </c>
    </row>
    <row r="65" spans="1:15" ht="15.95" customHeight="1" x14ac:dyDescent="0.2">
      <c r="A65" s="43" t="s">
        <v>116</v>
      </c>
      <c r="B65" s="31" t="s">
        <v>59</v>
      </c>
      <c r="C65" s="30">
        <v>7500</v>
      </c>
      <c r="D65" s="30"/>
      <c r="E65" s="30"/>
      <c r="F65" s="46"/>
      <c r="G65" s="46"/>
      <c r="H65" s="30"/>
      <c r="I65" s="30"/>
      <c r="J65" s="46"/>
      <c r="K65" s="46"/>
      <c r="L65" s="30">
        <f t="shared" si="6"/>
        <v>7500</v>
      </c>
      <c r="M65" s="30">
        <v>500</v>
      </c>
      <c r="N65" s="30">
        <f t="shared" si="3"/>
        <v>7000</v>
      </c>
      <c r="O65" s="40">
        <f t="shared" si="7"/>
        <v>3.8691093014014391E-4</v>
      </c>
    </row>
    <row r="66" spans="1:15" ht="15.95" customHeight="1" x14ac:dyDescent="0.2">
      <c r="A66" s="43" t="s">
        <v>117</v>
      </c>
      <c r="B66" s="31" t="s">
        <v>179</v>
      </c>
      <c r="C66" s="30">
        <v>24540</v>
      </c>
      <c r="D66" s="30"/>
      <c r="E66" s="30"/>
      <c r="F66" s="46"/>
      <c r="G66" s="46"/>
      <c r="H66" s="30"/>
      <c r="I66" s="30"/>
      <c r="J66" s="46"/>
      <c r="K66" s="46"/>
      <c r="L66" s="30">
        <f t="shared" si="6"/>
        <v>24540</v>
      </c>
      <c r="M66" s="30">
        <v>7428</v>
      </c>
      <c r="N66" s="30">
        <f t="shared" si="3"/>
        <v>17112</v>
      </c>
      <c r="O66" s="40">
        <f t="shared" si="7"/>
        <v>5.7479487781619777E-3</v>
      </c>
    </row>
    <row r="67" spans="1:15" ht="15.95" customHeight="1" x14ac:dyDescent="0.2">
      <c r="A67" s="43" t="s">
        <v>118</v>
      </c>
      <c r="B67" s="31" t="s">
        <v>180</v>
      </c>
      <c r="C67" s="30">
        <v>8000</v>
      </c>
      <c r="D67" s="30"/>
      <c r="E67" s="30"/>
      <c r="F67" s="46"/>
      <c r="G67" s="46"/>
      <c r="H67" s="30"/>
      <c r="I67" s="30"/>
      <c r="J67" s="46"/>
      <c r="K67" s="46"/>
      <c r="L67" s="30">
        <f t="shared" si="6"/>
        <v>8000</v>
      </c>
      <c r="M67" s="30">
        <v>3200</v>
      </c>
      <c r="N67" s="30">
        <f t="shared" si="3"/>
        <v>4800</v>
      </c>
      <c r="O67" s="40">
        <f t="shared" si="7"/>
        <v>2.476229952896921E-3</v>
      </c>
    </row>
    <row r="68" spans="1:15" ht="15.95" customHeight="1" x14ac:dyDescent="0.2">
      <c r="A68" s="43" t="s">
        <v>119</v>
      </c>
      <c r="B68" s="31" t="s">
        <v>181</v>
      </c>
      <c r="C68" s="30">
        <v>8000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8000</v>
      </c>
      <c r="M68" s="30">
        <v>0</v>
      </c>
      <c r="N68" s="30">
        <f t="shared" si="3"/>
        <v>8000</v>
      </c>
      <c r="O68" s="40">
        <f t="shared" si="7"/>
        <v>0</v>
      </c>
    </row>
    <row r="69" spans="1:15" ht="15.95" customHeight="1" x14ac:dyDescent="0.2">
      <c r="A69" s="43" t="s">
        <v>120</v>
      </c>
      <c r="B69" s="31" t="s">
        <v>60</v>
      </c>
      <c r="C69" s="30">
        <v>225800</v>
      </c>
      <c r="D69" s="30">
        <v>17000</v>
      </c>
      <c r="E69" s="30"/>
      <c r="F69" s="46"/>
      <c r="G69" s="46"/>
      <c r="H69" s="30"/>
      <c r="I69" s="30"/>
      <c r="J69" s="46"/>
      <c r="K69" s="46"/>
      <c r="L69" s="30">
        <f t="shared" si="6"/>
        <v>242800</v>
      </c>
      <c r="M69" s="30">
        <v>94410</v>
      </c>
      <c r="N69" s="30">
        <f t="shared" si="3"/>
        <v>148390</v>
      </c>
      <c r="O69" s="40">
        <f t="shared" si="7"/>
        <v>7.3056521829061971E-2</v>
      </c>
    </row>
    <row r="70" spans="1:15" ht="15.95" customHeight="1" x14ac:dyDescent="0.2">
      <c r="A70" s="43" t="s">
        <v>121</v>
      </c>
      <c r="B70" s="31" t="s">
        <v>182</v>
      </c>
      <c r="C70" s="30">
        <v>8250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8250</v>
      </c>
      <c r="M70" s="30">
        <v>0</v>
      </c>
      <c r="N70" s="30">
        <f t="shared" si="3"/>
        <v>8250</v>
      </c>
      <c r="O70" s="40">
        <f t="shared" si="7"/>
        <v>0</v>
      </c>
    </row>
    <row r="71" spans="1:15" ht="15.95" customHeight="1" x14ac:dyDescent="0.2">
      <c r="A71" s="43" t="s">
        <v>122</v>
      </c>
      <c r="B71" s="31" t="s">
        <v>183</v>
      </c>
      <c r="C71" s="30">
        <v>2500</v>
      </c>
      <c r="D71" s="30"/>
      <c r="E71" s="30"/>
      <c r="F71" s="46"/>
      <c r="G71" s="46"/>
      <c r="H71" s="30"/>
      <c r="I71" s="30"/>
      <c r="J71" s="46"/>
      <c r="K71" s="46"/>
      <c r="L71" s="30">
        <f t="shared" si="6"/>
        <v>2500</v>
      </c>
      <c r="M71" s="30">
        <v>811.51</v>
      </c>
      <c r="N71" s="30">
        <f t="shared" si="3"/>
        <v>1688.49</v>
      </c>
      <c r="O71" s="40">
        <f t="shared" si="7"/>
        <v>6.2796417783605638E-4</v>
      </c>
    </row>
    <row r="72" spans="1:15" ht="15.95" customHeight="1" x14ac:dyDescent="0.2">
      <c r="A72" s="43" t="s">
        <v>123</v>
      </c>
      <c r="B72" s="31" t="s">
        <v>61</v>
      </c>
      <c r="C72" s="30">
        <v>7000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7000</v>
      </c>
      <c r="M72" s="30">
        <v>274.31</v>
      </c>
      <c r="N72" s="30">
        <f t="shared" si="3"/>
        <v>6725.69</v>
      </c>
      <c r="O72" s="40">
        <f t="shared" si="7"/>
        <v>2.1226707449348577E-4</v>
      </c>
    </row>
    <row r="73" spans="1:15" ht="15.95" customHeight="1" x14ac:dyDescent="0.2">
      <c r="A73" s="43" t="s">
        <v>124</v>
      </c>
      <c r="B73" s="31" t="s">
        <v>184</v>
      </c>
      <c r="C73" s="30">
        <v>2000</v>
      </c>
      <c r="D73" s="30"/>
      <c r="E73" s="30"/>
      <c r="F73" s="46"/>
      <c r="G73" s="46"/>
      <c r="H73" s="30"/>
      <c r="I73" s="30"/>
      <c r="J73" s="46"/>
      <c r="K73" s="46"/>
      <c r="L73" s="30">
        <f t="shared" si="6"/>
        <v>2000</v>
      </c>
      <c r="M73" s="30">
        <v>0</v>
      </c>
      <c r="N73" s="30">
        <f t="shared" si="3"/>
        <v>2000</v>
      </c>
      <c r="O73" s="40">
        <f t="shared" si="7"/>
        <v>0</v>
      </c>
    </row>
    <row r="74" spans="1:15" ht="15.95" customHeight="1" x14ac:dyDescent="0.2">
      <c r="A74" s="43" t="s">
        <v>185</v>
      </c>
      <c r="B74" s="31" t="s">
        <v>157</v>
      </c>
      <c r="C74" s="30">
        <v>89500</v>
      </c>
      <c r="D74" s="30"/>
      <c r="E74" s="30"/>
      <c r="F74" s="46"/>
      <c r="G74" s="46"/>
      <c r="H74" s="30"/>
      <c r="I74" s="30"/>
      <c r="J74" s="46"/>
      <c r="K74" s="46"/>
      <c r="L74" s="30">
        <f t="shared" si="6"/>
        <v>89500</v>
      </c>
      <c r="M74" s="30">
        <v>0</v>
      </c>
      <c r="N74" s="30">
        <f t="shared" si="3"/>
        <v>89500</v>
      </c>
      <c r="O74" s="40">
        <f t="shared" si="7"/>
        <v>0</v>
      </c>
    </row>
    <row r="75" spans="1:15" ht="15.95" customHeight="1" x14ac:dyDescent="0.2">
      <c r="A75" s="43" t="s">
        <v>125</v>
      </c>
      <c r="B75" s="31" t="s">
        <v>186</v>
      </c>
      <c r="C75" s="30">
        <v>21000</v>
      </c>
      <c r="D75" s="30">
        <v>3500</v>
      </c>
      <c r="E75" s="30"/>
      <c r="F75" s="46"/>
      <c r="G75" s="46"/>
      <c r="H75" s="30"/>
      <c r="I75" s="30"/>
      <c r="J75" s="46"/>
      <c r="K75" s="46"/>
      <c r="L75" s="30">
        <f t="shared" si="6"/>
        <v>24500</v>
      </c>
      <c r="M75" s="30">
        <f>9990</f>
        <v>9990</v>
      </c>
      <c r="N75" s="30">
        <f t="shared" si="3"/>
        <v>14510</v>
      </c>
      <c r="O75" s="40">
        <f t="shared" si="7"/>
        <v>7.7304803842000759E-3</v>
      </c>
    </row>
    <row r="76" spans="1:15" ht="15.95" customHeight="1" x14ac:dyDescent="0.2">
      <c r="A76" s="43"/>
      <c r="B76" s="31"/>
      <c r="C76" s="30"/>
      <c r="D76" s="30"/>
      <c r="E76" s="30"/>
      <c r="F76" s="46"/>
      <c r="G76" s="46"/>
      <c r="H76" s="30"/>
      <c r="I76" s="30"/>
      <c r="J76" s="46"/>
      <c r="K76" s="46"/>
      <c r="L76" s="30"/>
      <c r="M76" s="30"/>
      <c r="N76" s="30"/>
      <c r="O76" s="40"/>
    </row>
    <row r="77" spans="1:15" ht="15.95" customHeight="1" x14ac:dyDescent="0.2">
      <c r="A77" s="43"/>
      <c r="B77" s="31"/>
      <c r="C77" s="30"/>
      <c r="D77" s="30"/>
      <c r="E77" s="30"/>
      <c r="F77" s="46"/>
      <c r="G77" s="46"/>
      <c r="H77" s="30"/>
      <c r="I77" s="30"/>
      <c r="J77" s="46"/>
      <c r="K77" s="46"/>
      <c r="L77" s="30"/>
      <c r="M77" s="30"/>
      <c r="N77" s="30"/>
      <c r="O77" s="40"/>
    </row>
    <row r="78" spans="1:15" ht="15.95" customHeight="1" x14ac:dyDescent="0.25">
      <c r="A78" s="41">
        <v>2</v>
      </c>
      <c r="B78" s="42" t="s">
        <v>62</v>
      </c>
      <c r="C78" s="28"/>
      <c r="D78" s="30"/>
      <c r="E78" s="30"/>
      <c r="F78" s="46"/>
      <c r="G78" s="46"/>
      <c r="H78" s="30"/>
      <c r="I78" s="30"/>
      <c r="J78" s="46"/>
      <c r="K78" s="46"/>
      <c r="L78" s="30"/>
      <c r="M78" s="30"/>
      <c r="N78" s="30"/>
      <c r="O78" s="40"/>
    </row>
    <row r="79" spans="1:15" ht="15.95" customHeight="1" x14ac:dyDescent="0.2">
      <c r="A79" s="43" t="s">
        <v>126</v>
      </c>
      <c r="B79" s="31" t="s">
        <v>63</v>
      </c>
      <c r="C79" s="30">
        <v>114414.1</v>
      </c>
      <c r="D79" s="30"/>
      <c r="E79" s="30"/>
      <c r="F79" s="46"/>
      <c r="G79" s="46"/>
      <c r="H79" s="30"/>
      <c r="I79" s="30"/>
      <c r="J79" s="46"/>
      <c r="K79" s="46"/>
      <c r="L79" s="30">
        <f t="shared" ref="L79:L115" si="8">C79+D79-E79+F79-G79+H79-I79+J79-K79</f>
        <v>114414.1</v>
      </c>
      <c r="M79" s="30">
        <v>17695.2</v>
      </c>
      <c r="N79" s="30">
        <f t="shared" si="3"/>
        <v>96718.900000000009</v>
      </c>
      <c r="O79" s="40">
        <f t="shared" ref="O79:O115" si="9">M79/$M$134</f>
        <v>1.3692932582031751E-2</v>
      </c>
    </row>
    <row r="80" spans="1:15" ht="15.95" hidden="1" customHeight="1" x14ac:dyDescent="0.2">
      <c r="A80" s="43">
        <v>214</v>
      </c>
      <c r="B80" s="31" t="s">
        <v>198</v>
      </c>
      <c r="C80" s="30"/>
      <c r="D80" s="30"/>
      <c r="E80" s="30"/>
      <c r="F80" s="46"/>
      <c r="G80" s="46"/>
      <c r="H80" s="30"/>
      <c r="I80" s="30"/>
      <c r="J80" s="46"/>
      <c r="K80" s="46"/>
      <c r="L80" s="30">
        <f t="shared" si="8"/>
        <v>0</v>
      </c>
      <c r="M80" s="30">
        <v>0</v>
      </c>
      <c r="N80" s="30">
        <f t="shared" si="3"/>
        <v>0</v>
      </c>
      <c r="O80" s="40">
        <f t="shared" si="9"/>
        <v>0</v>
      </c>
    </row>
    <row r="81" spans="1:15" ht="15.95" customHeight="1" x14ac:dyDescent="0.2">
      <c r="A81" s="43">
        <v>223</v>
      </c>
      <c r="B81" s="31" t="s">
        <v>199</v>
      </c>
      <c r="C81" s="30">
        <v>0</v>
      </c>
      <c r="D81" s="30">
        <v>1500</v>
      </c>
      <c r="E81" s="30"/>
      <c r="F81" s="46"/>
      <c r="G81" s="46"/>
      <c r="H81" s="30"/>
      <c r="I81" s="30"/>
      <c r="J81" s="46"/>
      <c r="K81" s="46"/>
      <c r="L81" s="30">
        <f t="shared" si="8"/>
        <v>1500</v>
      </c>
      <c r="M81" s="30">
        <v>100</v>
      </c>
      <c r="N81" s="30">
        <f t="shared" si="3"/>
        <v>1400</v>
      </c>
      <c r="O81" s="40">
        <f t="shared" si="9"/>
        <v>7.7382186028028782E-5</v>
      </c>
    </row>
    <row r="82" spans="1:15" ht="15.95" hidden="1" customHeight="1" x14ac:dyDescent="0.2">
      <c r="A82" s="43">
        <v>229</v>
      </c>
      <c r="B82" s="31" t="s">
        <v>200</v>
      </c>
      <c r="C82" s="30"/>
      <c r="D82" s="30"/>
      <c r="E82" s="30"/>
      <c r="F82" s="46"/>
      <c r="G82" s="46"/>
      <c r="H82" s="30"/>
      <c r="I82" s="30"/>
      <c r="J82" s="46"/>
      <c r="K82" s="46"/>
      <c r="L82" s="30">
        <f t="shared" si="8"/>
        <v>0</v>
      </c>
      <c r="M82" s="30">
        <v>0</v>
      </c>
      <c r="N82" s="30">
        <f t="shared" si="3"/>
        <v>0</v>
      </c>
      <c r="O82" s="40">
        <f t="shared" si="9"/>
        <v>0</v>
      </c>
    </row>
    <row r="83" spans="1:15" ht="15.95" customHeight="1" x14ac:dyDescent="0.2">
      <c r="A83" s="43" t="s">
        <v>127</v>
      </c>
      <c r="B83" s="31" t="s">
        <v>64</v>
      </c>
      <c r="C83" s="30">
        <v>2750</v>
      </c>
      <c r="D83" s="30"/>
      <c r="E83" s="30"/>
      <c r="F83" s="46"/>
      <c r="G83" s="46"/>
      <c r="H83" s="30"/>
      <c r="I83" s="30"/>
      <c r="J83" s="46"/>
      <c r="K83" s="46"/>
      <c r="L83" s="30">
        <f t="shared" si="8"/>
        <v>2750</v>
      </c>
      <c r="M83" s="30">
        <v>239</v>
      </c>
      <c r="N83" s="30">
        <f t="shared" si="3"/>
        <v>2511</v>
      </c>
      <c r="O83" s="40">
        <f t="shared" si="9"/>
        <v>1.8494342460698881E-4</v>
      </c>
    </row>
    <row r="84" spans="1:15" ht="15.95" customHeight="1" x14ac:dyDescent="0.2">
      <c r="A84" s="43" t="s">
        <v>128</v>
      </c>
      <c r="B84" s="31" t="s">
        <v>65</v>
      </c>
      <c r="C84" s="30">
        <v>16800</v>
      </c>
      <c r="D84" s="30"/>
      <c r="E84" s="30"/>
      <c r="F84" s="46"/>
      <c r="G84" s="46"/>
      <c r="H84" s="30"/>
      <c r="I84" s="30"/>
      <c r="J84" s="46"/>
      <c r="K84" s="46"/>
      <c r="L84" s="30">
        <f t="shared" si="8"/>
        <v>16800</v>
      </c>
      <c r="M84" s="30">
        <v>0</v>
      </c>
      <c r="N84" s="30">
        <f t="shared" si="3"/>
        <v>16800</v>
      </c>
      <c r="O84" s="40">
        <f t="shared" si="9"/>
        <v>0</v>
      </c>
    </row>
    <row r="85" spans="1:15" ht="15.95" customHeight="1" x14ac:dyDescent="0.2">
      <c r="A85" s="43" t="s">
        <v>129</v>
      </c>
      <c r="B85" s="31" t="s">
        <v>66</v>
      </c>
      <c r="C85" s="30">
        <v>5250</v>
      </c>
      <c r="D85" s="30"/>
      <c r="E85" s="30"/>
      <c r="F85" s="46"/>
      <c r="G85" s="46"/>
      <c r="H85" s="30"/>
      <c r="I85" s="30"/>
      <c r="J85" s="46"/>
      <c r="K85" s="46"/>
      <c r="L85" s="30">
        <f t="shared" si="8"/>
        <v>5250</v>
      </c>
      <c r="M85" s="30">
        <v>1072.5999999999999</v>
      </c>
      <c r="N85" s="30">
        <f t="shared" si="3"/>
        <v>4177.3999999999996</v>
      </c>
      <c r="O85" s="40">
        <f t="shared" si="9"/>
        <v>8.3000132733663666E-4</v>
      </c>
    </row>
    <row r="86" spans="1:15" ht="15.95" customHeight="1" x14ac:dyDescent="0.2">
      <c r="A86" s="43" t="s">
        <v>130</v>
      </c>
      <c r="B86" s="31" t="s">
        <v>67</v>
      </c>
      <c r="C86" s="30">
        <v>1500</v>
      </c>
      <c r="D86" s="30"/>
      <c r="E86" s="30"/>
      <c r="F86" s="46"/>
      <c r="G86" s="46"/>
      <c r="H86" s="30"/>
      <c r="I86" s="30"/>
      <c r="J86" s="46"/>
      <c r="K86" s="46"/>
      <c r="L86" s="30">
        <f t="shared" si="8"/>
        <v>1500</v>
      </c>
      <c r="M86" s="30">
        <v>691.25</v>
      </c>
      <c r="N86" s="30">
        <f t="shared" si="3"/>
        <v>808.75</v>
      </c>
      <c r="O86" s="40">
        <f t="shared" si="9"/>
        <v>5.3490436091874899E-4</v>
      </c>
    </row>
    <row r="87" spans="1:15" ht="15.95" customHeight="1" x14ac:dyDescent="0.2">
      <c r="A87" s="43" t="s">
        <v>131</v>
      </c>
      <c r="B87" s="31" t="s">
        <v>201</v>
      </c>
      <c r="C87" s="30">
        <v>3050</v>
      </c>
      <c r="D87" s="30"/>
      <c r="E87" s="30"/>
      <c r="F87" s="46"/>
      <c r="G87" s="46"/>
      <c r="H87" s="30"/>
      <c r="I87" s="30"/>
      <c r="J87" s="46"/>
      <c r="K87" s="46"/>
      <c r="L87" s="30">
        <f t="shared" si="8"/>
        <v>3050</v>
      </c>
      <c r="M87" s="30">
        <v>798.7</v>
      </c>
      <c r="N87" s="30">
        <f t="shared" si="3"/>
        <v>2251.3000000000002</v>
      </c>
      <c r="O87" s="40">
        <f t="shared" si="9"/>
        <v>6.1805151980586588E-4</v>
      </c>
    </row>
    <row r="88" spans="1:15" ht="15.95" customHeight="1" x14ac:dyDescent="0.2">
      <c r="A88" s="43" t="s">
        <v>132</v>
      </c>
      <c r="B88" s="31" t="s">
        <v>68</v>
      </c>
      <c r="C88" s="30">
        <v>875</v>
      </c>
      <c r="D88" s="30"/>
      <c r="E88" s="30"/>
      <c r="F88" s="46"/>
      <c r="G88" s="46"/>
      <c r="H88" s="30"/>
      <c r="I88" s="30"/>
      <c r="J88" s="46"/>
      <c r="K88" s="46"/>
      <c r="L88" s="30">
        <f t="shared" si="8"/>
        <v>875</v>
      </c>
      <c r="M88" s="30">
        <v>10</v>
      </c>
      <c r="N88" s="30">
        <f t="shared" si="3"/>
        <v>865</v>
      </c>
      <c r="O88" s="40">
        <f t="shared" si="9"/>
        <v>7.7382186028028782E-6</v>
      </c>
    </row>
    <row r="89" spans="1:15" ht="15.95" customHeight="1" x14ac:dyDescent="0.2">
      <c r="A89" s="43" t="s">
        <v>133</v>
      </c>
      <c r="B89" s="31" t="s">
        <v>202</v>
      </c>
      <c r="C89" s="30">
        <v>5500</v>
      </c>
      <c r="D89" s="30"/>
      <c r="E89" s="30"/>
      <c r="F89" s="46"/>
      <c r="G89" s="46"/>
      <c r="H89" s="30"/>
      <c r="I89" s="30"/>
      <c r="J89" s="46"/>
      <c r="K89" s="46"/>
      <c r="L89" s="30">
        <f t="shared" si="8"/>
        <v>5500</v>
      </c>
      <c r="M89" s="30">
        <v>0</v>
      </c>
      <c r="N89" s="30">
        <f t="shared" si="3"/>
        <v>5500</v>
      </c>
      <c r="O89" s="40">
        <f t="shared" si="9"/>
        <v>0</v>
      </c>
    </row>
    <row r="90" spans="1:15" ht="15.95" customHeight="1" x14ac:dyDescent="0.2">
      <c r="A90" s="43" t="s">
        <v>134</v>
      </c>
      <c r="B90" s="31" t="s">
        <v>69</v>
      </c>
      <c r="C90" s="30">
        <v>2700</v>
      </c>
      <c r="D90" s="30"/>
      <c r="E90" s="30"/>
      <c r="F90" s="46"/>
      <c r="G90" s="46"/>
      <c r="H90" s="30"/>
      <c r="I90" s="30"/>
      <c r="J90" s="46"/>
      <c r="K90" s="46"/>
      <c r="L90" s="30">
        <f t="shared" si="8"/>
        <v>2700</v>
      </c>
      <c r="M90" s="30">
        <v>290</v>
      </c>
      <c r="N90" s="30">
        <f t="shared" si="3"/>
        <v>2410</v>
      </c>
      <c r="O90" s="40">
        <f t="shared" si="9"/>
        <v>2.2440833948128347E-4</v>
      </c>
    </row>
    <row r="91" spans="1:15" ht="15.95" customHeight="1" x14ac:dyDescent="0.2">
      <c r="A91" s="43" t="s">
        <v>203</v>
      </c>
      <c r="B91" s="31" t="s">
        <v>204</v>
      </c>
      <c r="C91" s="30">
        <v>2800</v>
      </c>
      <c r="D91" s="30"/>
      <c r="E91" s="30"/>
      <c r="F91" s="46"/>
      <c r="G91" s="46"/>
      <c r="H91" s="30"/>
      <c r="I91" s="30"/>
      <c r="J91" s="46"/>
      <c r="K91" s="46"/>
      <c r="L91" s="30">
        <f t="shared" si="8"/>
        <v>2800</v>
      </c>
      <c r="M91" s="30">
        <v>138</v>
      </c>
      <c r="N91" s="30">
        <f t="shared" si="3"/>
        <v>2662</v>
      </c>
      <c r="O91" s="40">
        <f t="shared" si="9"/>
        <v>1.0678741671867972E-4</v>
      </c>
    </row>
    <row r="92" spans="1:15" ht="15.95" customHeight="1" x14ac:dyDescent="0.2">
      <c r="A92" s="43" t="s">
        <v>135</v>
      </c>
      <c r="B92" s="31" t="s">
        <v>70</v>
      </c>
      <c r="C92" s="30">
        <v>8500</v>
      </c>
      <c r="D92" s="30"/>
      <c r="E92" s="30"/>
      <c r="F92" s="46"/>
      <c r="G92" s="46"/>
      <c r="H92" s="30"/>
      <c r="I92" s="30"/>
      <c r="J92" s="46"/>
      <c r="K92" s="46"/>
      <c r="L92" s="30">
        <f t="shared" si="8"/>
        <v>8500</v>
      </c>
      <c r="M92" s="30">
        <v>2455.86</v>
      </c>
      <c r="N92" s="30">
        <f t="shared" si="3"/>
        <v>6044.1399999999994</v>
      </c>
      <c r="O92" s="40">
        <f t="shared" si="9"/>
        <v>1.9003981537879478E-3</v>
      </c>
    </row>
    <row r="93" spans="1:15" ht="15.95" customHeight="1" x14ac:dyDescent="0.2">
      <c r="A93" s="43" t="s">
        <v>136</v>
      </c>
      <c r="B93" s="31" t="s">
        <v>205</v>
      </c>
      <c r="C93" s="30">
        <v>2000</v>
      </c>
      <c r="D93" s="30"/>
      <c r="E93" s="30"/>
      <c r="F93" s="46"/>
      <c r="G93" s="46"/>
      <c r="H93" s="30"/>
      <c r="I93" s="30"/>
      <c r="J93" s="46"/>
      <c r="K93" s="46"/>
      <c r="L93" s="30">
        <f t="shared" si="8"/>
        <v>2000</v>
      </c>
      <c r="M93" s="30">
        <v>1619.11</v>
      </c>
      <c r="N93" s="30">
        <f t="shared" si="3"/>
        <v>380.8900000000001</v>
      </c>
      <c r="O93" s="40">
        <f t="shared" si="9"/>
        <v>1.2529027121984167E-3</v>
      </c>
    </row>
    <row r="94" spans="1:15" ht="15.95" customHeight="1" x14ac:dyDescent="0.2">
      <c r="A94" s="43" t="s">
        <v>137</v>
      </c>
      <c r="B94" s="31" t="s">
        <v>71</v>
      </c>
      <c r="C94" s="30">
        <v>17500</v>
      </c>
      <c r="D94" s="30"/>
      <c r="E94" s="30"/>
      <c r="F94" s="46"/>
      <c r="G94" s="46"/>
      <c r="H94" s="30"/>
      <c r="I94" s="30"/>
      <c r="J94" s="46"/>
      <c r="K94" s="46"/>
      <c r="L94" s="30">
        <f t="shared" si="8"/>
        <v>17500</v>
      </c>
      <c r="M94" s="30">
        <v>2490.4</v>
      </c>
      <c r="N94" s="30">
        <f t="shared" si="3"/>
        <v>15009.6</v>
      </c>
      <c r="O94" s="40">
        <f t="shared" si="9"/>
        <v>1.927125960842029E-3</v>
      </c>
    </row>
    <row r="95" spans="1:15" ht="15.95" customHeight="1" x14ac:dyDescent="0.2">
      <c r="A95" s="43" t="s">
        <v>138</v>
      </c>
      <c r="B95" s="31" t="s">
        <v>206</v>
      </c>
      <c r="C95" s="30">
        <v>3000</v>
      </c>
      <c r="D95" s="30"/>
      <c r="E95" s="30"/>
      <c r="F95" s="46"/>
      <c r="G95" s="46"/>
      <c r="H95" s="30"/>
      <c r="I95" s="30"/>
      <c r="J95" s="46"/>
      <c r="K95" s="46"/>
      <c r="L95" s="30">
        <f t="shared" si="8"/>
        <v>3000</v>
      </c>
      <c r="M95" s="30">
        <v>478.8</v>
      </c>
      <c r="N95" s="30">
        <f t="shared" si="3"/>
        <v>2521.1999999999998</v>
      </c>
      <c r="O95" s="40">
        <f t="shared" si="9"/>
        <v>3.7050590670220185E-4</v>
      </c>
    </row>
    <row r="96" spans="1:15" ht="15.95" customHeight="1" x14ac:dyDescent="0.2">
      <c r="A96" s="43" t="s">
        <v>139</v>
      </c>
      <c r="B96" s="31" t="s">
        <v>207</v>
      </c>
      <c r="C96" s="30">
        <v>1500</v>
      </c>
      <c r="D96" s="30"/>
      <c r="E96" s="30"/>
      <c r="F96" s="46"/>
      <c r="G96" s="46"/>
      <c r="H96" s="30"/>
      <c r="I96" s="30"/>
      <c r="J96" s="46"/>
      <c r="K96" s="46"/>
      <c r="L96" s="30">
        <f t="shared" si="8"/>
        <v>1500</v>
      </c>
      <c r="M96" s="30">
        <v>0</v>
      </c>
      <c r="N96" s="30">
        <f t="shared" ref="N96:N133" si="10">L96-M96</f>
        <v>1500</v>
      </c>
      <c r="O96" s="40">
        <f t="shared" si="9"/>
        <v>0</v>
      </c>
    </row>
    <row r="97" spans="1:15" ht="15.95" customHeight="1" x14ac:dyDescent="0.2">
      <c r="A97" s="43" t="s">
        <v>140</v>
      </c>
      <c r="B97" s="31" t="s">
        <v>72</v>
      </c>
      <c r="C97" s="30">
        <v>210345</v>
      </c>
      <c r="D97" s="30"/>
      <c r="E97" s="30"/>
      <c r="F97" s="46"/>
      <c r="G97" s="46"/>
      <c r="H97" s="30"/>
      <c r="I97" s="30"/>
      <c r="J97" s="46"/>
      <c r="K97" s="46"/>
      <c r="L97" s="30">
        <f t="shared" si="8"/>
        <v>210345</v>
      </c>
      <c r="M97" s="30">
        <v>0</v>
      </c>
      <c r="N97" s="30">
        <f t="shared" si="10"/>
        <v>210345</v>
      </c>
      <c r="O97" s="40">
        <f t="shared" si="9"/>
        <v>0</v>
      </c>
    </row>
    <row r="98" spans="1:15" ht="15.95" hidden="1" customHeight="1" x14ac:dyDescent="0.2">
      <c r="A98" s="43">
        <v>272</v>
      </c>
      <c r="B98" s="31" t="s">
        <v>208</v>
      </c>
      <c r="C98" s="30"/>
      <c r="D98" s="30"/>
      <c r="E98" s="30"/>
      <c r="F98" s="46"/>
      <c r="G98" s="46"/>
      <c r="H98" s="30"/>
      <c r="I98" s="30"/>
      <c r="J98" s="46"/>
      <c r="K98" s="46"/>
      <c r="L98" s="30">
        <f t="shared" si="8"/>
        <v>0</v>
      </c>
      <c r="M98" s="30">
        <v>0</v>
      </c>
      <c r="N98" s="30">
        <f t="shared" si="10"/>
        <v>0</v>
      </c>
      <c r="O98" s="40">
        <f t="shared" si="9"/>
        <v>0</v>
      </c>
    </row>
    <row r="99" spans="1:15" ht="15.95" hidden="1" customHeight="1" x14ac:dyDescent="0.2">
      <c r="A99" s="43" t="s">
        <v>141</v>
      </c>
      <c r="B99" s="31" t="s">
        <v>209</v>
      </c>
      <c r="C99" s="30"/>
      <c r="D99" s="30"/>
      <c r="E99" s="30"/>
      <c r="F99" s="46"/>
      <c r="G99" s="46"/>
      <c r="H99" s="30"/>
      <c r="I99" s="30"/>
      <c r="J99" s="46"/>
      <c r="K99" s="46"/>
      <c r="L99" s="30">
        <f t="shared" si="8"/>
        <v>0</v>
      </c>
      <c r="M99" s="30">
        <v>0</v>
      </c>
      <c r="N99" s="30">
        <f t="shared" si="10"/>
        <v>0</v>
      </c>
      <c r="O99" s="40">
        <f t="shared" si="9"/>
        <v>0</v>
      </c>
    </row>
    <row r="100" spans="1:15" ht="15.95" customHeight="1" x14ac:dyDescent="0.2">
      <c r="A100" s="43">
        <v>274</v>
      </c>
      <c r="B100" s="31" t="s">
        <v>73</v>
      </c>
      <c r="C100" s="30">
        <v>1500</v>
      </c>
      <c r="D100" s="30"/>
      <c r="E100" s="30"/>
      <c r="F100" s="46"/>
      <c r="G100" s="46"/>
      <c r="H100" s="30"/>
      <c r="I100" s="30"/>
      <c r="J100" s="46"/>
      <c r="K100" s="46"/>
      <c r="L100" s="30">
        <f t="shared" si="8"/>
        <v>1500</v>
      </c>
      <c r="M100" s="30">
        <v>237</v>
      </c>
      <c r="N100" s="30">
        <f t="shared" si="10"/>
        <v>1263</v>
      </c>
      <c r="O100" s="40">
        <f t="shared" si="9"/>
        <v>1.8339578088642821E-4</v>
      </c>
    </row>
    <row r="101" spans="1:15" ht="15.95" hidden="1" customHeight="1" x14ac:dyDescent="0.2">
      <c r="A101" s="43">
        <v>275</v>
      </c>
      <c r="B101" s="31" t="s">
        <v>210</v>
      </c>
      <c r="C101" s="30"/>
      <c r="D101" s="30"/>
      <c r="E101" s="30"/>
      <c r="F101" s="46"/>
      <c r="G101" s="46"/>
      <c r="H101" s="30"/>
      <c r="I101" s="30"/>
      <c r="J101" s="46"/>
      <c r="K101" s="46"/>
      <c r="L101" s="30">
        <f t="shared" si="8"/>
        <v>0</v>
      </c>
      <c r="M101" s="30">
        <v>0</v>
      </c>
      <c r="N101" s="30">
        <f t="shared" si="10"/>
        <v>0</v>
      </c>
      <c r="O101" s="40">
        <f t="shared" si="9"/>
        <v>0</v>
      </c>
    </row>
    <row r="102" spans="1:15" ht="15.95" customHeight="1" x14ac:dyDescent="0.2">
      <c r="A102" s="43">
        <v>279</v>
      </c>
      <c r="B102" s="31" t="s">
        <v>211</v>
      </c>
      <c r="C102" s="30">
        <v>750</v>
      </c>
      <c r="D102" s="30"/>
      <c r="E102" s="30"/>
      <c r="F102" s="46"/>
      <c r="G102" s="46"/>
      <c r="H102" s="30"/>
      <c r="I102" s="30"/>
      <c r="J102" s="46"/>
      <c r="K102" s="46"/>
      <c r="L102" s="30">
        <f t="shared" si="8"/>
        <v>750</v>
      </c>
      <c r="M102" s="30">
        <v>0</v>
      </c>
      <c r="N102" s="30">
        <f t="shared" si="10"/>
        <v>750</v>
      </c>
      <c r="O102" s="40">
        <f t="shared" si="9"/>
        <v>0</v>
      </c>
    </row>
    <row r="103" spans="1:15" ht="15.95" hidden="1" customHeight="1" x14ac:dyDescent="0.2">
      <c r="A103" s="43">
        <v>281</v>
      </c>
      <c r="B103" s="31" t="s">
        <v>212</v>
      </c>
      <c r="C103" s="30"/>
      <c r="D103" s="30"/>
      <c r="E103" s="30"/>
      <c r="F103" s="46"/>
      <c r="G103" s="46"/>
      <c r="H103" s="30"/>
      <c r="I103" s="30"/>
      <c r="J103" s="46"/>
      <c r="K103" s="46"/>
      <c r="L103" s="30">
        <f t="shared" si="8"/>
        <v>0</v>
      </c>
      <c r="M103" s="30">
        <v>0</v>
      </c>
      <c r="N103" s="30">
        <f t="shared" si="10"/>
        <v>0</v>
      </c>
      <c r="O103" s="40">
        <f t="shared" si="9"/>
        <v>0</v>
      </c>
    </row>
    <row r="104" spans="1:15" ht="15.95" customHeight="1" x14ac:dyDescent="0.2">
      <c r="A104" s="43" t="s">
        <v>142</v>
      </c>
      <c r="B104" s="31" t="s">
        <v>213</v>
      </c>
      <c r="C104" s="30">
        <v>1800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8"/>
        <v>1800</v>
      </c>
      <c r="M104" s="30">
        <v>145.4</v>
      </c>
      <c r="N104" s="30">
        <f t="shared" si="10"/>
        <v>1654.6</v>
      </c>
      <c r="O104" s="40">
        <f t="shared" si="9"/>
        <v>1.1251369848475385E-4</v>
      </c>
    </row>
    <row r="105" spans="1:15" ht="15.95" customHeight="1" x14ac:dyDescent="0.2">
      <c r="A105" s="43" t="s">
        <v>143</v>
      </c>
      <c r="B105" s="31" t="s">
        <v>74</v>
      </c>
      <c r="C105" s="30">
        <v>8800</v>
      </c>
      <c r="D105" s="30">
        <v>15000</v>
      </c>
      <c r="E105" s="30"/>
      <c r="F105" s="46"/>
      <c r="G105" s="46"/>
      <c r="H105" s="30"/>
      <c r="I105" s="30"/>
      <c r="J105" s="46"/>
      <c r="K105" s="46"/>
      <c r="L105" s="30">
        <f t="shared" si="8"/>
        <v>23800</v>
      </c>
      <c r="M105" s="30">
        <v>0</v>
      </c>
      <c r="N105" s="30">
        <f t="shared" si="10"/>
        <v>23800</v>
      </c>
      <c r="O105" s="40">
        <f t="shared" si="9"/>
        <v>0</v>
      </c>
    </row>
    <row r="106" spans="1:15" ht="15.95" customHeight="1" x14ac:dyDescent="0.2">
      <c r="A106" s="43" t="s">
        <v>144</v>
      </c>
      <c r="B106" s="31" t="s">
        <v>75</v>
      </c>
      <c r="C106" s="30">
        <v>800821.67999999993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8"/>
        <v>800821.67999999993</v>
      </c>
      <c r="M106" s="30">
        <v>0</v>
      </c>
      <c r="N106" s="30">
        <f t="shared" si="10"/>
        <v>800821.67999999993</v>
      </c>
      <c r="O106" s="40">
        <f t="shared" si="9"/>
        <v>0</v>
      </c>
    </row>
    <row r="107" spans="1:15" ht="15.95" customHeight="1" x14ac:dyDescent="0.2">
      <c r="A107" s="43">
        <v>286</v>
      </c>
      <c r="B107" s="31" t="s">
        <v>214</v>
      </c>
      <c r="C107" s="30">
        <v>1500</v>
      </c>
      <c r="D107" s="30"/>
      <c r="E107" s="30"/>
      <c r="F107" s="46"/>
      <c r="G107" s="46"/>
      <c r="H107" s="30"/>
      <c r="I107" s="30"/>
      <c r="J107" s="46"/>
      <c r="K107" s="46"/>
      <c r="L107" s="30">
        <f t="shared" si="8"/>
        <v>1500</v>
      </c>
      <c r="M107" s="30">
        <v>0</v>
      </c>
      <c r="N107" s="30">
        <f t="shared" si="10"/>
        <v>1500</v>
      </c>
      <c r="O107" s="40">
        <f t="shared" si="9"/>
        <v>0</v>
      </c>
    </row>
    <row r="108" spans="1:15" ht="15.95" hidden="1" customHeight="1" x14ac:dyDescent="0.2">
      <c r="A108" s="43">
        <v>289</v>
      </c>
      <c r="B108" s="31" t="s">
        <v>215</v>
      </c>
      <c r="C108" s="30"/>
      <c r="D108" s="30"/>
      <c r="E108" s="30"/>
      <c r="F108" s="46"/>
      <c r="G108" s="46"/>
      <c r="H108" s="30"/>
      <c r="I108" s="30"/>
      <c r="J108" s="46"/>
      <c r="K108" s="46"/>
      <c r="L108" s="30">
        <f t="shared" si="8"/>
        <v>0</v>
      </c>
      <c r="M108" s="30">
        <v>0</v>
      </c>
      <c r="N108" s="30">
        <f t="shared" si="10"/>
        <v>0</v>
      </c>
      <c r="O108" s="40">
        <f t="shared" si="9"/>
        <v>0</v>
      </c>
    </row>
    <row r="109" spans="1:15" ht="15.95" customHeight="1" x14ac:dyDescent="0.2">
      <c r="A109" s="43" t="s">
        <v>145</v>
      </c>
      <c r="B109" s="31" t="s">
        <v>76</v>
      </c>
      <c r="C109" s="30">
        <v>6600</v>
      </c>
      <c r="D109" s="30"/>
      <c r="E109" s="30"/>
      <c r="F109" s="46"/>
      <c r="G109" s="46"/>
      <c r="H109" s="30"/>
      <c r="I109" s="30"/>
      <c r="J109" s="46"/>
      <c r="K109" s="46"/>
      <c r="L109" s="30">
        <f t="shared" si="8"/>
        <v>6600</v>
      </c>
      <c r="M109" s="30">
        <v>2695.06</v>
      </c>
      <c r="N109" s="30">
        <f t="shared" si="10"/>
        <v>3904.94</v>
      </c>
      <c r="O109" s="40">
        <f t="shared" si="9"/>
        <v>2.0854963427669924E-3</v>
      </c>
    </row>
    <row r="110" spans="1:15" ht="15.95" customHeight="1" x14ac:dyDescent="0.2">
      <c r="A110" s="43" t="s">
        <v>146</v>
      </c>
      <c r="B110" s="31" t="s">
        <v>216</v>
      </c>
      <c r="C110" s="30">
        <v>2000</v>
      </c>
      <c r="D110" s="30"/>
      <c r="E110" s="30"/>
      <c r="F110" s="46"/>
      <c r="G110" s="46"/>
      <c r="H110" s="30"/>
      <c r="I110" s="30"/>
      <c r="J110" s="46"/>
      <c r="K110" s="46"/>
      <c r="L110" s="30">
        <f t="shared" si="8"/>
        <v>2000</v>
      </c>
      <c r="M110" s="30">
        <v>1000.3</v>
      </c>
      <c r="N110" s="30">
        <f t="shared" si="10"/>
        <v>999.7</v>
      </c>
      <c r="O110" s="40">
        <f t="shared" si="9"/>
        <v>7.7405400683837192E-4</v>
      </c>
    </row>
    <row r="111" spans="1:15" ht="15.95" customHeight="1" x14ac:dyDescent="0.2">
      <c r="A111" s="43" t="s">
        <v>147</v>
      </c>
      <c r="B111" s="31" t="s">
        <v>77</v>
      </c>
      <c r="C111" s="30">
        <v>115251.9</v>
      </c>
      <c r="D111" s="30">
        <f>4500+21000+10000</f>
        <v>35500</v>
      </c>
      <c r="E111" s="30"/>
      <c r="F111" s="46"/>
      <c r="G111" s="46"/>
      <c r="H111" s="30"/>
      <c r="I111" s="30"/>
      <c r="J111" s="46"/>
      <c r="K111" s="46"/>
      <c r="L111" s="30">
        <f t="shared" si="8"/>
        <v>150751.9</v>
      </c>
      <c r="M111" s="30">
        <v>75.989999999999995</v>
      </c>
      <c r="N111" s="30">
        <f t="shared" si="10"/>
        <v>150675.91</v>
      </c>
      <c r="O111" s="40">
        <f t="shared" si="9"/>
        <v>5.8802723162699066E-5</v>
      </c>
    </row>
    <row r="112" spans="1:15" ht="15.95" customHeight="1" x14ac:dyDescent="0.2">
      <c r="A112" s="43" t="s">
        <v>148</v>
      </c>
      <c r="B112" s="31" t="s">
        <v>78</v>
      </c>
      <c r="C112" s="30">
        <v>2000</v>
      </c>
      <c r="D112" s="30"/>
      <c r="E112" s="30"/>
      <c r="F112" s="46"/>
      <c r="G112" s="46"/>
      <c r="H112" s="30"/>
      <c r="I112" s="30"/>
      <c r="J112" s="46"/>
      <c r="K112" s="46"/>
      <c r="L112" s="30">
        <f t="shared" si="8"/>
        <v>2000</v>
      </c>
      <c r="M112" s="30">
        <v>0</v>
      </c>
      <c r="N112" s="30">
        <f t="shared" si="10"/>
        <v>2000</v>
      </c>
      <c r="O112" s="40">
        <f t="shared" si="9"/>
        <v>0</v>
      </c>
    </row>
    <row r="113" spans="1:15" ht="15.95" customHeight="1" x14ac:dyDescent="0.2">
      <c r="A113" s="43" t="s">
        <v>149</v>
      </c>
      <c r="B113" s="31" t="s">
        <v>217</v>
      </c>
      <c r="C113" s="30">
        <v>9500</v>
      </c>
      <c r="D113" s="30">
        <v>20000</v>
      </c>
      <c r="E113" s="30"/>
      <c r="F113" s="46"/>
      <c r="G113" s="46"/>
      <c r="H113" s="30"/>
      <c r="I113" s="30"/>
      <c r="J113" s="46"/>
      <c r="K113" s="46"/>
      <c r="L113" s="30">
        <f t="shared" si="8"/>
        <v>29500</v>
      </c>
      <c r="M113" s="30">
        <v>0</v>
      </c>
      <c r="N113" s="30">
        <f t="shared" si="10"/>
        <v>29500</v>
      </c>
      <c r="O113" s="40">
        <f t="shared" si="9"/>
        <v>0</v>
      </c>
    </row>
    <row r="114" spans="1:15" ht="15.95" customHeight="1" x14ac:dyDescent="0.2">
      <c r="A114" s="43" t="s">
        <v>150</v>
      </c>
      <c r="B114" s="31" t="s">
        <v>79</v>
      </c>
      <c r="C114" s="30">
        <v>101000</v>
      </c>
      <c r="D114" s="30"/>
      <c r="E114" s="30"/>
      <c r="F114" s="46"/>
      <c r="G114" s="46"/>
      <c r="H114" s="30"/>
      <c r="I114" s="30"/>
      <c r="J114" s="46"/>
      <c r="K114" s="46"/>
      <c r="L114" s="30">
        <f t="shared" si="8"/>
        <v>101000</v>
      </c>
      <c r="M114" s="30">
        <v>5316.97</v>
      </c>
      <c r="N114" s="30">
        <f t="shared" si="10"/>
        <v>95683.03</v>
      </c>
      <c r="O114" s="40">
        <f t="shared" si="9"/>
        <v>4.1143876164544818E-3</v>
      </c>
    </row>
    <row r="115" spans="1:15" ht="15.95" customHeight="1" x14ac:dyDescent="0.2">
      <c r="A115" s="43" t="s">
        <v>151</v>
      </c>
      <c r="B115" s="31" t="s">
        <v>80</v>
      </c>
      <c r="C115" s="30">
        <v>11500</v>
      </c>
      <c r="D115" s="30"/>
      <c r="E115" s="30"/>
      <c r="F115" s="46"/>
      <c r="G115" s="46"/>
      <c r="H115" s="30"/>
      <c r="I115" s="30"/>
      <c r="J115" s="46"/>
      <c r="K115" s="46"/>
      <c r="L115" s="30">
        <f t="shared" si="8"/>
        <v>11500</v>
      </c>
      <c r="M115" s="30">
        <v>2077.33</v>
      </c>
      <c r="N115" s="30">
        <f t="shared" si="10"/>
        <v>9422.67</v>
      </c>
      <c r="O115" s="40">
        <f t="shared" si="9"/>
        <v>1.6074833650160502E-3</v>
      </c>
    </row>
    <row r="116" spans="1:15" ht="15.95" customHeight="1" x14ac:dyDescent="0.2">
      <c r="A116" s="43"/>
      <c r="B116" s="31"/>
      <c r="C116" s="30"/>
      <c r="D116" s="30"/>
      <c r="E116" s="30"/>
      <c r="F116" s="46"/>
      <c r="G116" s="46"/>
      <c r="H116" s="30"/>
      <c r="I116" s="30"/>
      <c r="J116" s="46"/>
      <c r="K116" s="46"/>
      <c r="L116" s="30"/>
      <c r="M116" s="30"/>
      <c r="N116" s="30"/>
      <c r="O116" s="40"/>
    </row>
    <row r="117" spans="1:15" ht="15.95" customHeight="1" x14ac:dyDescent="0.2">
      <c r="A117" s="43"/>
      <c r="B117" s="31"/>
      <c r="C117" s="30"/>
      <c r="D117" s="30"/>
      <c r="E117" s="30"/>
      <c r="F117" s="46"/>
      <c r="G117" s="46"/>
      <c r="H117" s="30"/>
      <c r="I117" s="30"/>
      <c r="J117" s="46"/>
      <c r="K117" s="46"/>
      <c r="L117" s="30"/>
      <c r="M117" s="30"/>
      <c r="N117" s="30"/>
      <c r="O117" s="40"/>
    </row>
    <row r="118" spans="1:15" ht="15.95" customHeight="1" x14ac:dyDescent="0.2">
      <c r="A118" s="43"/>
      <c r="B118" s="31"/>
      <c r="C118" s="30"/>
      <c r="D118" s="30"/>
      <c r="E118" s="30"/>
      <c r="F118" s="46"/>
      <c r="G118" s="46"/>
      <c r="H118" s="30"/>
      <c r="I118" s="30"/>
      <c r="J118" s="46"/>
      <c r="K118" s="46"/>
      <c r="L118" s="30"/>
      <c r="M118" s="30"/>
      <c r="N118" s="30"/>
      <c r="O118" s="40"/>
    </row>
    <row r="119" spans="1:15" ht="15.95" customHeight="1" x14ac:dyDescent="0.25">
      <c r="A119" s="41">
        <v>3</v>
      </c>
      <c r="B119" s="42" t="s">
        <v>81</v>
      </c>
      <c r="C119" s="28"/>
      <c r="D119" s="30"/>
      <c r="E119" s="30"/>
      <c r="F119" s="46"/>
      <c r="G119" s="46"/>
      <c r="H119" s="30"/>
      <c r="I119" s="30"/>
      <c r="J119" s="46"/>
      <c r="K119" s="46"/>
      <c r="L119" s="30"/>
      <c r="M119" s="30"/>
      <c r="N119" s="30"/>
      <c r="O119" s="40"/>
    </row>
    <row r="120" spans="1:15" ht="15.95" customHeight="1" x14ac:dyDescent="0.2">
      <c r="A120" s="44" t="s">
        <v>218</v>
      </c>
      <c r="B120" s="45" t="s">
        <v>219</v>
      </c>
      <c r="C120" s="46">
        <v>10000</v>
      </c>
      <c r="D120" s="30"/>
      <c r="E120" s="30"/>
      <c r="F120" s="46"/>
      <c r="G120" s="46"/>
      <c r="H120" s="30"/>
      <c r="I120" s="30"/>
      <c r="J120" s="46"/>
      <c r="K120" s="46"/>
      <c r="L120" s="30">
        <f t="shared" ref="L120:L133" si="11">C120+D120-E120+F120-G120+J120-K120</f>
        <v>10000</v>
      </c>
      <c r="M120" s="30">
        <v>1299</v>
      </c>
      <c r="N120" s="30">
        <f t="shared" si="10"/>
        <v>8701</v>
      </c>
      <c r="O120" s="40">
        <f>M120/$M$134</f>
        <v>1.005194596504094E-3</v>
      </c>
    </row>
    <row r="121" spans="1:15" ht="15.95" hidden="1" customHeight="1" x14ac:dyDescent="0.2">
      <c r="A121" s="44" t="s">
        <v>82</v>
      </c>
      <c r="B121" s="45" t="s">
        <v>220</v>
      </c>
      <c r="C121" s="46">
        <v>0</v>
      </c>
      <c r="D121" s="30"/>
      <c r="E121" s="30"/>
      <c r="F121" s="46"/>
      <c r="G121" s="46"/>
      <c r="H121" s="30"/>
      <c r="I121" s="30"/>
      <c r="J121" s="46"/>
      <c r="K121" s="46"/>
      <c r="L121" s="30">
        <f t="shared" si="11"/>
        <v>0</v>
      </c>
      <c r="M121" s="30">
        <v>0</v>
      </c>
      <c r="N121" s="30">
        <f t="shared" si="10"/>
        <v>0</v>
      </c>
      <c r="O121" s="40">
        <f>M121/$M$134</f>
        <v>0</v>
      </c>
    </row>
    <row r="122" spans="1:15" ht="15.95" customHeight="1" x14ac:dyDescent="0.2">
      <c r="A122" s="44" t="s">
        <v>221</v>
      </c>
      <c r="B122" s="45" t="s">
        <v>222</v>
      </c>
      <c r="C122" s="46">
        <v>54035</v>
      </c>
      <c r="D122" s="30"/>
      <c r="E122" s="30"/>
      <c r="F122" s="46"/>
      <c r="G122" s="46"/>
      <c r="H122" s="30"/>
      <c r="I122" s="30"/>
      <c r="J122" s="46"/>
      <c r="K122" s="46"/>
      <c r="L122" s="30">
        <f t="shared" si="11"/>
        <v>54035</v>
      </c>
      <c r="M122" s="30">
        <f>35472.21</f>
        <v>35472.21</v>
      </c>
      <c r="N122" s="30">
        <f t="shared" si="10"/>
        <v>18562.79</v>
      </c>
      <c r="O122" s="40">
        <f>M122/$M$134</f>
        <v>2.744917153045303E-2</v>
      </c>
    </row>
    <row r="123" spans="1:15" ht="15.95" customHeight="1" x14ac:dyDescent="0.2">
      <c r="A123" s="44" t="s">
        <v>223</v>
      </c>
      <c r="B123" s="45" t="s">
        <v>224</v>
      </c>
      <c r="C123" s="46">
        <v>1500</v>
      </c>
      <c r="D123" s="30"/>
      <c r="E123" s="30"/>
      <c r="F123" s="46"/>
      <c r="G123" s="46"/>
      <c r="H123" s="30"/>
      <c r="I123" s="30"/>
      <c r="J123" s="46"/>
      <c r="K123" s="46"/>
      <c r="L123" s="30">
        <f t="shared" si="11"/>
        <v>1500</v>
      </c>
      <c r="M123" s="30">
        <v>0</v>
      </c>
      <c r="N123" s="30">
        <f t="shared" si="10"/>
        <v>1500</v>
      </c>
      <c r="O123" s="40">
        <f>M123/$M$134</f>
        <v>0</v>
      </c>
    </row>
    <row r="124" spans="1:15" ht="15.95" customHeight="1" x14ac:dyDescent="0.2">
      <c r="A124" s="44">
        <v>328</v>
      </c>
      <c r="B124" s="45" t="s">
        <v>254</v>
      </c>
      <c r="C124" s="46">
        <v>0</v>
      </c>
      <c r="D124" s="30">
        <v>3000</v>
      </c>
      <c r="E124" s="30"/>
      <c r="F124" s="46"/>
      <c r="G124" s="46"/>
      <c r="H124" s="30"/>
      <c r="I124" s="30"/>
      <c r="J124" s="46"/>
      <c r="K124" s="46"/>
      <c r="L124" s="30">
        <f t="shared" si="11"/>
        <v>3000</v>
      </c>
      <c r="M124" s="30"/>
      <c r="N124" s="30"/>
      <c r="O124" s="40"/>
    </row>
    <row r="125" spans="1:15" ht="15.95" customHeight="1" x14ac:dyDescent="0.2">
      <c r="A125" s="44" t="s">
        <v>225</v>
      </c>
      <c r="B125" s="45" t="s">
        <v>226</v>
      </c>
      <c r="C125" s="46">
        <v>14300</v>
      </c>
      <c r="D125" s="30">
        <f>3000+16000</f>
        <v>19000</v>
      </c>
      <c r="E125" s="30"/>
      <c r="F125" s="46"/>
      <c r="G125" s="46"/>
      <c r="H125" s="30"/>
      <c r="I125" s="30"/>
      <c r="J125" s="46"/>
      <c r="K125" s="46"/>
      <c r="L125" s="30">
        <f t="shared" si="11"/>
        <v>33300</v>
      </c>
      <c r="M125" s="30">
        <v>3950</v>
      </c>
      <c r="N125" s="30">
        <f t="shared" si="10"/>
        <v>29350</v>
      </c>
      <c r="O125" s="40">
        <f>M125/$M$134</f>
        <v>3.0565963481071368E-3</v>
      </c>
    </row>
    <row r="126" spans="1:15" ht="15.95" hidden="1" customHeight="1" x14ac:dyDescent="0.2">
      <c r="A126" s="44" t="s">
        <v>227</v>
      </c>
      <c r="B126" s="45" t="s">
        <v>228</v>
      </c>
      <c r="C126" s="46">
        <v>0</v>
      </c>
      <c r="D126" s="30"/>
      <c r="E126" s="30"/>
      <c r="F126" s="46"/>
      <c r="G126" s="46"/>
      <c r="H126" s="30"/>
      <c r="I126" s="30"/>
      <c r="J126" s="46"/>
      <c r="K126" s="46"/>
      <c r="L126" s="30">
        <f t="shared" si="11"/>
        <v>0</v>
      </c>
      <c r="M126" s="30">
        <v>0</v>
      </c>
      <c r="N126" s="30">
        <f t="shared" si="10"/>
        <v>0</v>
      </c>
      <c r="O126" s="40">
        <f>M126/$M$134</f>
        <v>0</v>
      </c>
    </row>
    <row r="127" spans="1:15" ht="15.95" customHeight="1" x14ac:dyDescent="0.2">
      <c r="A127" s="44"/>
      <c r="B127" s="45"/>
      <c r="C127" s="46"/>
      <c r="D127" s="30"/>
      <c r="E127" s="30"/>
      <c r="F127" s="46"/>
      <c r="G127" s="46"/>
      <c r="H127" s="30"/>
      <c r="I127" s="30"/>
      <c r="J127" s="46"/>
      <c r="K127" s="46"/>
      <c r="L127" s="30"/>
      <c r="M127" s="30"/>
      <c r="N127" s="30"/>
      <c r="O127" s="40"/>
    </row>
    <row r="128" spans="1:15" ht="15.95" customHeight="1" x14ac:dyDescent="0.2">
      <c r="A128" s="43"/>
      <c r="B128" s="31"/>
      <c r="C128" s="30"/>
      <c r="D128" s="30"/>
      <c r="E128" s="30"/>
      <c r="F128" s="46"/>
      <c r="G128" s="46"/>
      <c r="H128" s="30"/>
      <c r="I128" s="30"/>
      <c r="J128" s="46"/>
      <c r="K128" s="46"/>
      <c r="L128" s="30"/>
      <c r="M128" s="30"/>
      <c r="N128" s="30"/>
      <c r="O128" s="40"/>
    </row>
    <row r="129" spans="1:15" ht="15.95" customHeight="1" x14ac:dyDescent="0.25">
      <c r="A129" s="41">
        <v>4</v>
      </c>
      <c r="B129" s="42" t="s">
        <v>83</v>
      </c>
      <c r="C129" s="28"/>
      <c r="D129" s="30"/>
      <c r="E129" s="30"/>
      <c r="F129" s="46"/>
      <c r="G129" s="46"/>
      <c r="H129" s="30"/>
      <c r="I129" s="30"/>
      <c r="J129" s="46"/>
      <c r="K129" s="46"/>
      <c r="L129" s="30"/>
      <c r="M129" s="30"/>
      <c r="N129" s="30"/>
      <c r="O129" s="40"/>
    </row>
    <row r="130" spans="1:15" ht="15.95" customHeight="1" x14ac:dyDescent="0.2">
      <c r="A130" s="43" t="s">
        <v>229</v>
      </c>
      <c r="B130" s="31" t="s">
        <v>84</v>
      </c>
      <c r="C130" s="30">
        <v>140900</v>
      </c>
      <c r="D130" s="30"/>
      <c r="E130" s="30"/>
      <c r="F130" s="46"/>
      <c r="G130" s="46"/>
      <c r="H130" s="30"/>
      <c r="I130" s="30"/>
      <c r="J130" s="46"/>
      <c r="K130" s="46"/>
      <c r="L130" s="30">
        <f t="shared" si="11"/>
        <v>140900</v>
      </c>
      <c r="M130" s="30">
        <v>61719.78</v>
      </c>
      <c r="N130" s="30">
        <f t="shared" si="10"/>
        <v>79180.22</v>
      </c>
      <c r="O130" s="40">
        <f>M130/$M$134</f>
        <v>4.7760114975690104E-2</v>
      </c>
    </row>
    <row r="131" spans="1:15" ht="15.95" customHeight="1" x14ac:dyDescent="0.2">
      <c r="A131" s="43" t="s">
        <v>230</v>
      </c>
      <c r="B131" s="31" t="s">
        <v>231</v>
      </c>
      <c r="C131" s="30">
        <v>7170</v>
      </c>
      <c r="D131" s="30"/>
      <c r="E131" s="30"/>
      <c r="F131" s="30"/>
      <c r="G131" s="30"/>
      <c r="H131" s="30"/>
      <c r="I131" s="30"/>
      <c r="J131" s="46"/>
      <c r="K131" s="46"/>
      <c r="L131" s="30">
        <f t="shared" si="11"/>
        <v>7170</v>
      </c>
      <c r="M131" s="30">
        <v>3718.87</v>
      </c>
      <c r="N131" s="30">
        <f t="shared" si="10"/>
        <v>3451.13</v>
      </c>
      <c r="O131" s="40">
        <f>M131/$M$134</f>
        <v>2.877742901540554E-3</v>
      </c>
    </row>
    <row r="132" spans="1:15" ht="15.95" customHeight="1" x14ac:dyDescent="0.2">
      <c r="A132" s="43" t="s">
        <v>232</v>
      </c>
      <c r="B132" s="31" t="s">
        <v>233</v>
      </c>
      <c r="C132" s="30">
        <v>163700</v>
      </c>
      <c r="D132" s="30"/>
      <c r="E132" s="30"/>
      <c r="F132" s="30"/>
      <c r="G132" s="30"/>
      <c r="H132" s="30"/>
      <c r="I132" s="30"/>
      <c r="J132" s="46"/>
      <c r="K132" s="46"/>
      <c r="L132" s="30">
        <f t="shared" si="11"/>
        <v>163700</v>
      </c>
      <c r="M132" s="30">
        <v>8000</v>
      </c>
      <c r="N132" s="30">
        <f t="shared" si="10"/>
        <v>155700</v>
      </c>
      <c r="O132" s="40">
        <f>M132/$M$134</f>
        <v>6.1905748822423026E-3</v>
      </c>
    </row>
    <row r="133" spans="1:15" ht="15.95" customHeight="1" thickBot="1" x14ac:dyDescent="0.25">
      <c r="A133" s="43" t="s">
        <v>234</v>
      </c>
      <c r="B133" s="31" t="s">
        <v>235</v>
      </c>
      <c r="C133" s="30">
        <v>8750</v>
      </c>
      <c r="D133" s="30"/>
      <c r="E133" s="30"/>
      <c r="F133" s="30"/>
      <c r="G133" s="30"/>
      <c r="H133" s="30"/>
      <c r="I133" s="30"/>
      <c r="J133" s="46"/>
      <c r="K133" s="46"/>
      <c r="L133" s="30">
        <f t="shared" si="11"/>
        <v>8750</v>
      </c>
      <c r="M133" s="30">
        <v>0</v>
      </c>
      <c r="N133" s="30">
        <f t="shared" si="10"/>
        <v>8750</v>
      </c>
      <c r="O133" s="40">
        <f>M133/$M$134</f>
        <v>0</v>
      </c>
    </row>
    <row r="134" spans="1:15" ht="18" customHeight="1" thickBot="1" x14ac:dyDescent="0.3">
      <c r="A134" s="34"/>
      <c r="B134" s="35" t="s">
        <v>94</v>
      </c>
      <c r="C134" s="36">
        <f t="shared" ref="C134:N134" si="12">SUM(C31:C133)</f>
        <v>6416776.6099999994</v>
      </c>
      <c r="D134" s="36">
        <f t="shared" si="12"/>
        <v>129000</v>
      </c>
      <c r="E134" s="36">
        <f t="shared" si="12"/>
        <v>129000</v>
      </c>
      <c r="F134" s="36">
        <f t="shared" si="12"/>
        <v>0</v>
      </c>
      <c r="G134" s="36">
        <f t="shared" si="12"/>
        <v>0</v>
      </c>
      <c r="H134" s="36">
        <f t="shared" si="12"/>
        <v>0</v>
      </c>
      <c r="I134" s="36">
        <f t="shared" si="12"/>
        <v>0</v>
      </c>
      <c r="J134" s="71">
        <f t="shared" si="12"/>
        <v>0</v>
      </c>
      <c r="K134" s="71">
        <f t="shared" si="12"/>
        <v>0</v>
      </c>
      <c r="L134" s="36">
        <f t="shared" si="12"/>
        <v>6416776.6099999994</v>
      </c>
      <c r="M134" s="36">
        <f t="shared" si="12"/>
        <v>1292287.0900000003</v>
      </c>
      <c r="N134" s="36">
        <f t="shared" si="12"/>
        <v>5121489.5200000005</v>
      </c>
      <c r="O134" s="47">
        <v>1</v>
      </c>
    </row>
    <row r="135" spans="1:15" x14ac:dyDescent="0.2">
      <c r="A135" s="48"/>
      <c r="B135" s="85"/>
      <c r="C135" s="88"/>
      <c r="D135" s="86"/>
      <c r="E135" s="49"/>
      <c r="F135" s="49"/>
      <c r="G135" s="49"/>
      <c r="H135" s="49"/>
      <c r="I135" s="49"/>
      <c r="J135" s="72"/>
      <c r="K135" s="72"/>
      <c r="L135" s="49"/>
      <c r="M135" s="49"/>
      <c r="N135" s="49"/>
    </row>
    <row r="136" spans="1:15" ht="15.75" thickBot="1" x14ac:dyDescent="0.25">
      <c r="B136" s="87"/>
      <c r="C136" s="87"/>
      <c r="D136" s="87"/>
      <c r="E136" s="12"/>
      <c r="L136" s="15"/>
      <c r="M136" s="4"/>
    </row>
    <row r="137" spans="1:15" ht="15.75" x14ac:dyDescent="0.25">
      <c r="A137" s="1" t="s">
        <v>85</v>
      </c>
      <c r="B137" s="2"/>
      <c r="C137" s="3"/>
      <c r="D137" s="4"/>
      <c r="E137" s="4"/>
      <c r="F137" s="4"/>
      <c r="G137" s="4"/>
      <c r="H137" s="4"/>
      <c r="I137" s="4"/>
      <c r="J137" s="73"/>
      <c r="K137" s="73"/>
      <c r="L137" s="4"/>
      <c r="M137" s="4"/>
    </row>
    <row r="138" spans="1:15" ht="15.75" x14ac:dyDescent="0.25">
      <c r="A138" s="5" t="s">
        <v>2</v>
      </c>
      <c r="B138" s="6"/>
      <c r="C138" s="7"/>
      <c r="D138" s="4"/>
      <c r="E138" s="4"/>
      <c r="F138" s="4"/>
      <c r="G138" s="4"/>
      <c r="H138" s="4"/>
      <c r="I138" s="4"/>
      <c r="J138" s="73"/>
      <c r="K138" s="73"/>
      <c r="L138" s="4"/>
      <c r="M138" s="4"/>
    </row>
    <row r="139" spans="1:15" ht="5.0999999999999996" customHeight="1" thickBot="1" x14ac:dyDescent="0.25">
      <c r="A139" s="8"/>
      <c r="B139" s="9"/>
      <c r="C139" s="10"/>
      <c r="D139" s="4"/>
      <c r="E139" s="4"/>
      <c r="F139" s="4"/>
      <c r="G139" s="4"/>
      <c r="H139" s="4"/>
      <c r="I139" s="4"/>
      <c r="J139" s="73"/>
      <c r="K139" s="73"/>
      <c r="L139" s="4"/>
      <c r="M139" s="4"/>
    </row>
    <row r="140" spans="1:15" ht="6.95" customHeight="1" x14ac:dyDescent="0.2">
      <c r="A140" s="51"/>
      <c r="B140" s="52"/>
      <c r="C140" s="53"/>
      <c r="D140" s="4"/>
      <c r="E140" s="4"/>
      <c r="F140" s="4"/>
      <c r="G140" s="4"/>
      <c r="H140" s="4"/>
      <c r="I140" s="4"/>
      <c r="J140" s="73"/>
      <c r="K140" s="73"/>
      <c r="L140" s="4"/>
      <c r="M140" s="4"/>
    </row>
    <row r="141" spans="1:15" x14ac:dyDescent="0.2">
      <c r="A141" s="54" t="s">
        <v>86</v>
      </c>
      <c r="B141" s="55"/>
      <c r="C141" s="56"/>
      <c r="D141" s="4"/>
      <c r="E141" s="4"/>
      <c r="F141" s="4"/>
      <c r="G141" s="4"/>
      <c r="H141" s="4"/>
      <c r="I141" s="4"/>
      <c r="J141" s="73"/>
      <c r="K141" s="73"/>
      <c r="L141" s="4"/>
    </row>
    <row r="142" spans="1:15" x14ac:dyDescent="0.2">
      <c r="A142" s="57" t="s">
        <v>236</v>
      </c>
      <c r="B142" s="55"/>
      <c r="C142" s="76">
        <f>260706.83+1025276.81</f>
        <v>1285983.6400000001</v>
      </c>
      <c r="D142" s="49"/>
      <c r="E142" s="4"/>
      <c r="F142" s="4"/>
      <c r="G142" s="4"/>
      <c r="H142" s="4"/>
      <c r="I142" s="4"/>
      <c r="J142" s="73"/>
      <c r="K142" s="73"/>
      <c r="L142" s="4"/>
    </row>
    <row r="143" spans="1:15" x14ac:dyDescent="0.2">
      <c r="A143" s="57" t="s">
        <v>256</v>
      </c>
      <c r="B143" s="55"/>
      <c r="C143" s="76">
        <f>50710.94-4603.19-39.95</f>
        <v>46067.8</v>
      </c>
      <c r="D143" s="49"/>
      <c r="E143" s="4"/>
      <c r="F143" s="4"/>
      <c r="G143" s="4"/>
      <c r="H143" s="4"/>
      <c r="I143" s="4"/>
      <c r="J143" s="73"/>
      <c r="K143" s="73"/>
      <c r="L143" s="4"/>
    </row>
    <row r="144" spans="1:15" x14ac:dyDescent="0.2">
      <c r="A144" s="57" t="s">
        <v>87</v>
      </c>
      <c r="B144" s="55"/>
      <c r="C144" s="76">
        <f>M26</f>
        <v>1780099.89</v>
      </c>
      <c r="D144" s="4"/>
      <c r="E144" s="4"/>
      <c r="F144" s="4"/>
      <c r="G144" s="4"/>
      <c r="H144" s="4"/>
      <c r="I144" s="4"/>
      <c r="J144" s="73"/>
      <c r="K144" s="73"/>
      <c r="L144" s="4"/>
    </row>
    <row r="145" spans="1:12" x14ac:dyDescent="0.2">
      <c r="A145" s="57" t="s">
        <v>88</v>
      </c>
      <c r="B145" s="55"/>
      <c r="C145" s="77">
        <f>-M134-39.95</f>
        <v>-1292327.0400000003</v>
      </c>
      <c r="D145" s="4"/>
      <c r="E145" s="4"/>
      <c r="F145" s="4"/>
      <c r="G145" s="4"/>
      <c r="H145" s="4"/>
      <c r="I145" s="4"/>
      <c r="J145" s="73"/>
      <c r="K145" s="73"/>
      <c r="L145" s="4"/>
    </row>
    <row r="146" spans="1:12" ht="15.75" x14ac:dyDescent="0.25">
      <c r="A146" s="58" t="s">
        <v>89</v>
      </c>
      <c r="B146" s="59"/>
      <c r="C146" s="78">
        <f>SUM(C142:C145)</f>
        <v>1819824.2899999998</v>
      </c>
      <c r="D146" s="4"/>
      <c r="E146" s="4"/>
      <c r="F146" s="4"/>
      <c r="G146" s="4"/>
      <c r="H146" s="4"/>
      <c r="I146" s="4"/>
      <c r="J146" s="73"/>
      <c r="K146" s="73"/>
      <c r="L146" s="4"/>
    </row>
    <row r="147" spans="1:12" ht="5.0999999999999996" customHeight="1" x14ac:dyDescent="0.25">
      <c r="A147" s="58"/>
      <c r="B147" s="59"/>
      <c r="C147" s="78"/>
      <c r="D147" s="4"/>
      <c r="E147" s="4"/>
      <c r="F147" s="4"/>
      <c r="G147" s="4"/>
      <c r="H147" s="4"/>
      <c r="I147" s="4"/>
      <c r="J147" s="73"/>
      <c r="K147" s="73"/>
      <c r="L147" s="4"/>
    </row>
    <row r="148" spans="1:12" x14ac:dyDescent="0.2">
      <c r="A148" s="54" t="s">
        <v>90</v>
      </c>
      <c r="B148" s="55"/>
      <c r="C148" s="76"/>
      <c r="D148" s="90"/>
      <c r="E148" s="91"/>
      <c r="F148" s="4"/>
      <c r="G148" s="4"/>
      <c r="H148" s="4"/>
      <c r="I148" s="4"/>
      <c r="J148" s="73"/>
      <c r="K148" s="73"/>
      <c r="L148" s="4"/>
    </row>
    <row r="149" spans="1:12" x14ac:dyDescent="0.2">
      <c r="A149" s="57" t="s">
        <v>152</v>
      </c>
      <c r="B149" s="55"/>
      <c r="C149" s="76">
        <v>272</v>
      </c>
      <c r="D149" s="92"/>
      <c r="E149" s="91"/>
      <c r="F149" s="4"/>
      <c r="G149" s="4"/>
      <c r="H149" s="4"/>
      <c r="I149" s="4"/>
      <c r="J149" s="73"/>
      <c r="K149" s="73"/>
      <c r="L149" s="4"/>
    </row>
    <row r="150" spans="1:12" x14ac:dyDescent="0.2">
      <c r="A150" s="57" t="s">
        <v>156</v>
      </c>
      <c r="B150" s="55"/>
      <c r="C150" s="76">
        <v>10480.11</v>
      </c>
      <c r="D150" s="92"/>
      <c r="E150" s="91"/>
      <c r="F150" s="4"/>
      <c r="G150" s="4"/>
      <c r="H150" s="4"/>
      <c r="I150" s="4"/>
      <c r="J150" s="73"/>
      <c r="K150" s="73"/>
      <c r="L150" s="4"/>
    </row>
    <row r="151" spans="1:12" x14ac:dyDescent="0.2">
      <c r="A151" s="57" t="s">
        <v>154</v>
      </c>
      <c r="B151" s="55"/>
      <c r="C151" s="76">
        <v>1053.68</v>
      </c>
      <c r="D151" s="92"/>
      <c r="E151" s="91"/>
      <c r="F151" s="4"/>
      <c r="G151" s="4"/>
      <c r="H151" s="4"/>
      <c r="I151" s="4"/>
      <c r="J151" s="73"/>
      <c r="K151" s="73"/>
      <c r="L151" s="4"/>
    </row>
    <row r="152" spans="1:12" x14ac:dyDescent="0.2">
      <c r="A152" s="57" t="s">
        <v>153</v>
      </c>
      <c r="B152" s="55"/>
      <c r="C152" s="76">
        <v>1953.36</v>
      </c>
      <c r="D152" s="93"/>
      <c r="E152" s="94"/>
      <c r="F152" s="4"/>
      <c r="G152" s="4"/>
      <c r="H152" s="4"/>
      <c r="I152" s="4"/>
      <c r="J152" s="73"/>
      <c r="K152" s="73"/>
      <c r="L152" s="4"/>
    </row>
    <row r="153" spans="1:12" x14ac:dyDescent="0.2">
      <c r="A153" s="57" t="s">
        <v>253</v>
      </c>
      <c r="B153" s="55"/>
      <c r="C153" s="76">
        <f>990.15+990.15+990.15</f>
        <v>2970.45</v>
      </c>
      <c r="D153" s="93"/>
      <c r="E153" s="94"/>
      <c r="F153" s="4"/>
      <c r="G153" s="4"/>
      <c r="H153" s="4"/>
      <c r="I153" s="4"/>
      <c r="J153" s="73"/>
      <c r="K153" s="73"/>
      <c r="L153" s="4"/>
    </row>
    <row r="154" spans="1:12" ht="2.1" customHeight="1" x14ac:dyDescent="0.2">
      <c r="A154" s="57"/>
      <c r="B154" s="55"/>
      <c r="C154" s="77"/>
      <c r="D154" s="92"/>
      <c r="E154" s="91"/>
      <c r="F154" s="4"/>
      <c r="G154" s="4"/>
      <c r="H154" s="4"/>
      <c r="I154" s="4"/>
      <c r="J154" s="73"/>
      <c r="K154" s="73"/>
      <c r="L154" s="4"/>
    </row>
    <row r="155" spans="1:12" ht="15.75" x14ac:dyDescent="0.25">
      <c r="A155" s="58"/>
      <c r="B155" s="59"/>
      <c r="C155" s="78">
        <f>SUM(C149:C154)</f>
        <v>16729.600000000002</v>
      </c>
      <c r="D155" s="92"/>
      <c r="E155" s="91"/>
      <c r="F155" s="4"/>
      <c r="G155" s="4"/>
      <c r="H155" s="4"/>
      <c r="I155" s="4"/>
      <c r="J155" s="73"/>
      <c r="K155" s="73"/>
      <c r="L155" s="4"/>
    </row>
    <row r="156" spans="1:12" ht="2.1" customHeight="1" x14ac:dyDescent="0.25">
      <c r="A156" s="58"/>
      <c r="B156" s="59"/>
      <c r="C156" s="79"/>
      <c r="D156" s="90"/>
      <c r="E156" s="91"/>
      <c r="F156" s="4"/>
      <c r="G156" s="4"/>
      <c r="H156" s="4"/>
      <c r="I156" s="4"/>
      <c r="J156" s="73"/>
      <c r="K156" s="73"/>
      <c r="L156" s="4"/>
    </row>
    <row r="157" spans="1:12" ht="9.9499999999999993" customHeight="1" x14ac:dyDescent="0.2">
      <c r="A157" s="57"/>
      <c r="B157" s="55"/>
      <c r="C157" s="76"/>
      <c r="D157" s="90"/>
      <c r="E157" s="91"/>
      <c r="F157" s="4"/>
      <c r="G157" s="4"/>
      <c r="H157" s="4"/>
      <c r="I157" s="4"/>
      <c r="J157" s="73"/>
      <c r="K157" s="73"/>
      <c r="L157" s="4"/>
    </row>
    <row r="158" spans="1:12" ht="16.5" thickBot="1" x14ac:dyDescent="0.3">
      <c r="A158" s="60" t="s">
        <v>263</v>
      </c>
      <c r="B158" s="61"/>
      <c r="C158" s="75">
        <f>C146+C155</f>
        <v>1836553.89</v>
      </c>
      <c r="D158" s="90"/>
      <c r="E158" s="91"/>
      <c r="F158" s="4"/>
      <c r="G158" s="4"/>
      <c r="H158" s="4"/>
      <c r="I158" s="4"/>
      <c r="J158" s="73"/>
      <c r="K158" s="73"/>
      <c r="L158" s="4"/>
    </row>
    <row r="159" spans="1:12" x14ac:dyDescent="0.2">
      <c r="A159" s="62"/>
      <c r="B159" s="62"/>
      <c r="C159" s="63"/>
      <c r="D159" s="4"/>
      <c r="E159" s="4"/>
      <c r="F159" s="4"/>
      <c r="G159" s="4"/>
      <c r="H159" s="4"/>
      <c r="I159" s="4"/>
      <c r="J159" s="73"/>
      <c r="K159" s="73"/>
      <c r="L159" s="4"/>
    </row>
    <row r="160" spans="1:12" x14ac:dyDescent="0.2">
      <c r="C160" s="63"/>
      <c r="D160" s="4"/>
    </row>
    <row r="161" spans="2:12" x14ac:dyDescent="0.2">
      <c r="C161" s="14"/>
      <c r="D161" s="4"/>
    </row>
    <row r="162" spans="2:12" x14ac:dyDescent="0.2">
      <c r="C162" s="14"/>
      <c r="D162" s="4"/>
    </row>
    <row r="163" spans="2:12" x14ac:dyDescent="0.2">
      <c r="C163" s="15"/>
      <c r="D163" s="4"/>
      <c r="I163" s="4"/>
      <c r="K163" s="73"/>
      <c r="L163" s="4"/>
    </row>
    <row r="164" spans="2:12" x14ac:dyDescent="0.2">
      <c r="C164" s="15"/>
      <c r="D164" s="4"/>
    </row>
    <row r="165" spans="2:12" x14ac:dyDescent="0.2">
      <c r="C165" s="15"/>
      <c r="D165" s="4"/>
    </row>
    <row r="166" spans="2:12" x14ac:dyDescent="0.2">
      <c r="C166" s="15"/>
      <c r="D166" s="4"/>
    </row>
    <row r="167" spans="2:12" x14ac:dyDescent="0.2">
      <c r="C167" s="15"/>
      <c r="D167" s="4"/>
    </row>
    <row r="168" spans="2:12" x14ac:dyDescent="0.2">
      <c r="D168" s="4"/>
    </row>
    <row r="169" spans="2:12" x14ac:dyDescent="0.2">
      <c r="D169" s="4"/>
    </row>
    <row r="170" spans="2:12" x14ac:dyDescent="0.2">
      <c r="D170" s="4"/>
    </row>
    <row r="171" spans="2:12" x14ac:dyDescent="0.2">
      <c r="B171" s="11" t="s">
        <v>239</v>
      </c>
      <c r="D171" s="4"/>
      <c r="E171" s="13" t="s">
        <v>240</v>
      </c>
      <c r="I171" s="50" t="s">
        <v>259</v>
      </c>
      <c r="K171" s="82"/>
    </row>
    <row r="172" spans="2:12" x14ac:dyDescent="0.2">
      <c r="B172" s="11" t="s">
        <v>91</v>
      </c>
      <c r="D172" s="4"/>
      <c r="E172" s="13" t="s">
        <v>92</v>
      </c>
      <c r="I172" s="50" t="s">
        <v>260</v>
      </c>
      <c r="K172" s="82"/>
    </row>
    <row r="173" spans="2:12" x14ac:dyDescent="0.2">
      <c r="D173" s="4"/>
      <c r="I173" s="13"/>
      <c r="K173" s="83"/>
    </row>
    <row r="177" spans="7:12" x14ac:dyDescent="0.2">
      <c r="I177" s="4"/>
      <c r="K177" s="73"/>
      <c r="L177" s="4"/>
    </row>
    <row r="178" spans="7:12" x14ac:dyDescent="0.2">
      <c r="I178" s="4"/>
      <c r="K178" s="73"/>
      <c r="L178" s="4"/>
    </row>
    <row r="179" spans="7:12" x14ac:dyDescent="0.2">
      <c r="G179" s="64"/>
      <c r="I179" s="64"/>
      <c r="K179" s="74"/>
      <c r="L179" s="4"/>
    </row>
    <row r="180" spans="7:12" x14ac:dyDescent="0.2">
      <c r="G180" s="64"/>
      <c r="I180" s="64"/>
      <c r="K180" s="74"/>
      <c r="L180" s="4"/>
    </row>
    <row r="181" spans="7:12" x14ac:dyDescent="0.2">
      <c r="G181" s="64"/>
      <c r="L181" s="4"/>
    </row>
    <row r="182" spans="7:12" x14ac:dyDescent="0.2">
      <c r="G182" s="64"/>
    </row>
    <row r="183" spans="7:12" x14ac:dyDescent="0.2">
      <c r="G183" s="64"/>
    </row>
    <row r="184" spans="7:12" x14ac:dyDescent="0.2">
      <c r="G184" s="64"/>
      <c r="L184" s="4"/>
    </row>
    <row r="185" spans="7:12" x14ac:dyDescent="0.2">
      <c r="G185" s="64"/>
    </row>
    <row r="186" spans="7:12" x14ac:dyDescent="0.2">
      <c r="G186" s="64"/>
    </row>
    <row r="187" spans="7:12" x14ac:dyDescent="0.2">
      <c r="G187" s="64"/>
    </row>
    <row r="188" spans="7:12" x14ac:dyDescent="0.2">
      <c r="G188" s="64"/>
    </row>
    <row r="189" spans="7:12" x14ac:dyDescent="0.2">
      <c r="G189" s="64"/>
    </row>
    <row r="190" spans="7:12" x14ac:dyDescent="0.2">
      <c r="G190" s="64"/>
    </row>
    <row r="191" spans="7:12" x14ac:dyDescent="0.2">
      <c r="G191" s="64"/>
    </row>
    <row r="192" spans="7:12" x14ac:dyDescent="0.2">
      <c r="G192" s="64"/>
    </row>
    <row r="193" spans="7:7" x14ac:dyDescent="0.2">
      <c r="G193" s="64"/>
    </row>
    <row r="194" spans="7:7" x14ac:dyDescent="0.2">
      <c r="G194" s="64"/>
    </row>
    <row r="195" spans="7:7" x14ac:dyDescent="0.2">
      <c r="G195" s="64"/>
    </row>
    <row r="196" spans="7:7" x14ac:dyDescent="0.2">
      <c r="G196" s="64"/>
    </row>
  </sheetData>
  <mergeCells count="2">
    <mergeCell ref="B6:B7"/>
    <mergeCell ref="M6:M7"/>
  </mergeCells>
  <printOptions horizontalCentered="1"/>
  <pageMargins left="0" right="0" top="0.78740157480314965" bottom="0.78740157480314965" header="0.39370078740157483" footer="0.39370078740157483"/>
  <pageSetup scale="60" orientation="landscape" horizontalDpi="4294967293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opLeftCell="A159" zoomScaleNormal="100" workbookViewId="0">
      <selection activeCell="B171" sqref="B171:N172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9" width="16.42578125" style="11" customWidth="1"/>
    <col min="10" max="11" width="13.42578125" style="62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5"/>
      <c r="K1" s="65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5"/>
      <c r="K2" s="65"/>
      <c r="L2" s="16"/>
      <c r="M2" s="16"/>
      <c r="N2" s="16"/>
      <c r="O2" s="17"/>
    </row>
    <row r="3" spans="1:15" ht="15.75" x14ac:dyDescent="0.25">
      <c r="A3" s="16" t="s">
        <v>264</v>
      </c>
      <c r="B3" s="16"/>
      <c r="C3" s="16"/>
      <c r="D3" s="16"/>
      <c r="E3" s="16"/>
      <c r="F3" s="16"/>
      <c r="G3" s="16"/>
      <c r="H3" s="16"/>
      <c r="I3" s="16"/>
      <c r="J3" s="65"/>
      <c r="K3" s="65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5"/>
      <c r="K4" s="65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6"/>
      <c r="K5" s="66"/>
      <c r="L5" s="17"/>
      <c r="M5" s="17"/>
      <c r="N5" s="17"/>
      <c r="O5" s="17"/>
    </row>
    <row r="6" spans="1:15" ht="16.5" thickBot="1" x14ac:dyDescent="0.3">
      <c r="A6" s="18" t="s">
        <v>3</v>
      </c>
      <c r="B6" s="100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9" t="s">
        <v>18</v>
      </c>
      <c r="I6" s="84"/>
      <c r="J6" s="67" t="s">
        <v>155</v>
      </c>
      <c r="K6" s="80" t="s">
        <v>155</v>
      </c>
      <c r="L6" s="18" t="s">
        <v>5</v>
      </c>
      <c r="M6" s="100" t="s">
        <v>8</v>
      </c>
      <c r="N6" s="18" t="s">
        <v>9</v>
      </c>
      <c r="O6" s="18" t="s">
        <v>10</v>
      </c>
    </row>
    <row r="7" spans="1:15" ht="16.5" thickBot="1" x14ac:dyDescent="0.3">
      <c r="A7" s="21" t="s">
        <v>11</v>
      </c>
      <c r="B7" s="101"/>
      <c r="C7" s="21" t="s">
        <v>12</v>
      </c>
      <c r="D7" s="22" t="s">
        <v>13</v>
      </c>
      <c r="E7" s="22" t="s">
        <v>14</v>
      </c>
      <c r="F7" s="22" t="s">
        <v>13</v>
      </c>
      <c r="G7" s="22" t="s">
        <v>14</v>
      </c>
      <c r="H7" s="22" t="s">
        <v>13</v>
      </c>
      <c r="I7" s="23" t="s">
        <v>14</v>
      </c>
      <c r="J7" s="68" t="s">
        <v>13</v>
      </c>
      <c r="K7" s="81" t="s">
        <v>14</v>
      </c>
      <c r="L7" s="21" t="s">
        <v>15</v>
      </c>
      <c r="M7" s="101"/>
      <c r="N7" s="21" t="s">
        <v>16</v>
      </c>
      <c r="O7" s="21" t="s">
        <v>17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9"/>
      <c r="K8" s="69"/>
      <c r="L8" s="25"/>
      <c r="M8" s="25"/>
      <c r="N8" s="25"/>
      <c r="O8" s="26"/>
    </row>
    <row r="9" spans="1:15" ht="15.95" customHeight="1" x14ac:dyDescent="0.25">
      <c r="A9" s="27"/>
      <c r="B9" s="27" t="s">
        <v>187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19</v>
      </c>
      <c r="B10" s="31" t="s">
        <v>188</v>
      </c>
      <c r="C10" s="30">
        <v>33000</v>
      </c>
      <c r="D10" s="30"/>
      <c r="E10" s="30"/>
      <c r="F10" s="30"/>
      <c r="G10" s="30"/>
      <c r="H10" s="30"/>
      <c r="I10" s="30"/>
      <c r="J10" s="46"/>
      <c r="K10" s="46"/>
      <c r="L10" s="30">
        <f t="shared" ref="L10:L22" si="0">C10+D10-E10+F10-G10+J10-K10</f>
        <v>33000</v>
      </c>
      <c r="M10" s="30">
        <f>13600+7600+600+400</f>
        <v>22200</v>
      </c>
      <c r="N10" s="30">
        <f t="shared" ref="N10:N22" si="1">L10-M10</f>
        <v>10800</v>
      </c>
      <c r="O10" s="29">
        <f>M10/$M$26</f>
        <v>1.0658406241793147E-2</v>
      </c>
    </row>
    <row r="11" spans="1:15" ht="15.95" hidden="1" customHeight="1" x14ac:dyDescent="0.25">
      <c r="A11" s="31" t="s">
        <v>29</v>
      </c>
      <c r="B11" s="31" t="s">
        <v>30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si="0"/>
        <v>0</v>
      </c>
      <c r="M11" s="30">
        <v>0</v>
      </c>
      <c r="N11" s="30">
        <v>0</v>
      </c>
      <c r="O11" s="29"/>
    </row>
    <row r="12" spans="1:15" ht="15.95" customHeight="1" x14ac:dyDescent="0.25">
      <c r="A12" s="31" t="s">
        <v>20</v>
      </c>
      <c r="B12" s="31" t="s">
        <v>189</v>
      </c>
      <c r="C12" s="30">
        <v>25000</v>
      </c>
      <c r="D12" s="30"/>
      <c r="E12" s="30"/>
      <c r="F12" s="30"/>
      <c r="G12" s="30"/>
      <c r="H12" s="30"/>
      <c r="I12" s="30"/>
      <c r="J12" s="46"/>
      <c r="K12" s="46"/>
      <c r="L12" s="30">
        <f t="shared" si="0"/>
        <v>25000</v>
      </c>
      <c r="M12" s="30">
        <f>400.4+1360+750</f>
        <v>2510.4</v>
      </c>
      <c r="N12" s="30">
        <f t="shared" si="1"/>
        <v>22489.599999999999</v>
      </c>
      <c r="O12" s="29">
        <f>M12/$M$26</f>
        <v>1.2052641004233115E-3</v>
      </c>
    </row>
    <row r="13" spans="1:15" ht="15.95" customHeight="1" x14ac:dyDescent="0.25">
      <c r="A13" s="31" t="s">
        <v>21</v>
      </c>
      <c r="B13" s="31" t="s">
        <v>190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0"/>
        <v>3500</v>
      </c>
      <c r="M13" s="30">
        <v>0</v>
      </c>
      <c r="N13" s="30">
        <f t="shared" si="1"/>
        <v>3500</v>
      </c>
      <c r="O13" s="29">
        <f>M13/$M$26</f>
        <v>0</v>
      </c>
    </row>
    <row r="14" spans="1:15" ht="15.95" customHeight="1" x14ac:dyDescent="0.25">
      <c r="A14" s="31"/>
      <c r="B14" s="27" t="s">
        <v>191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192</v>
      </c>
      <c r="B15" s="31" t="s">
        <v>245</v>
      </c>
      <c r="C15" s="30">
        <v>3300</v>
      </c>
      <c r="D15" s="30"/>
      <c r="E15" s="30"/>
      <c r="F15" s="30"/>
      <c r="G15" s="30"/>
      <c r="H15" s="30"/>
      <c r="I15" s="30"/>
      <c r="J15" s="46"/>
      <c r="K15" s="46"/>
      <c r="L15" s="30">
        <f t="shared" si="0"/>
        <v>3300</v>
      </c>
      <c r="M15" s="30">
        <f>471.37+563.88+670.99+877.82+980.93+976.17+3.5</f>
        <v>4544.66</v>
      </c>
      <c r="N15" s="30">
        <f t="shared" si="1"/>
        <v>-1244.6599999999999</v>
      </c>
      <c r="O15" s="29">
        <f>M15/$M$26</f>
        <v>2.1819293923796236E-3</v>
      </c>
    </row>
    <row r="16" spans="1:15" ht="15.95" customHeight="1" x14ac:dyDescent="0.25">
      <c r="A16" s="27" t="s">
        <v>242</v>
      </c>
      <c r="B16" s="27" t="s">
        <v>243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244</v>
      </c>
      <c r="B17" s="27" t="s">
        <v>241</v>
      </c>
      <c r="C17" s="89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22</v>
      </c>
      <c r="B18" s="31" t="s">
        <v>23</v>
      </c>
      <c r="C18" s="30">
        <v>2996512.52</v>
      </c>
      <c r="D18" s="30"/>
      <c r="E18" s="30"/>
      <c r="F18" s="30"/>
      <c r="G18" s="30"/>
      <c r="H18" s="30"/>
      <c r="I18" s="30"/>
      <c r="J18" s="46"/>
      <c r="K18" s="46"/>
      <c r="L18" s="30">
        <f t="shared" si="0"/>
        <v>2996512.52</v>
      </c>
      <c r="M18" s="30">
        <f>355870+247708.11+247708.11+247708.11+227292.61+228925.85</f>
        <v>1555212.79</v>
      </c>
      <c r="N18" s="30">
        <f t="shared" si="1"/>
        <v>1441299.73</v>
      </c>
      <c r="O18" s="29">
        <f>M18/$M$26</f>
        <v>0.74667070757894305</v>
      </c>
    </row>
    <row r="19" spans="1:15" ht="15.95" hidden="1" customHeight="1" x14ac:dyDescent="0.25">
      <c r="A19" s="31" t="s">
        <v>24</v>
      </c>
      <c r="B19" s="31" t="s">
        <v>32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0"/>
        <v>0</v>
      </c>
      <c r="M19" s="30">
        <v>0</v>
      </c>
      <c r="N19" s="30">
        <f t="shared" si="1"/>
        <v>0</v>
      </c>
      <c r="O19" s="29">
        <f>M19/$M$26</f>
        <v>0</v>
      </c>
    </row>
    <row r="20" spans="1:15" ht="15.95" customHeight="1" x14ac:dyDescent="0.25">
      <c r="A20" s="31" t="s">
        <v>25</v>
      </c>
      <c r="B20" s="31" t="s">
        <v>26</v>
      </c>
      <c r="C20" s="30">
        <v>1809978.55</v>
      </c>
      <c r="D20" s="30"/>
      <c r="E20" s="30"/>
      <c r="F20" s="30"/>
      <c r="G20" s="30"/>
      <c r="H20" s="30"/>
      <c r="I20" s="30"/>
      <c r="J20" s="46"/>
      <c r="K20" s="46"/>
      <c r="L20" s="30">
        <f t="shared" si="0"/>
        <v>1809978.55</v>
      </c>
      <c r="M20" s="30">
        <f>351172.36+20685</f>
        <v>371857.36</v>
      </c>
      <c r="N20" s="30">
        <f t="shared" si="1"/>
        <v>1438121.19</v>
      </c>
      <c r="O20" s="29">
        <f>M20/$M$26</f>
        <v>0.17853183814778023</v>
      </c>
    </row>
    <row r="21" spans="1:15" ht="15.95" customHeight="1" x14ac:dyDescent="0.25">
      <c r="A21" s="31" t="s">
        <v>27</v>
      </c>
      <c r="B21" s="31" t="s">
        <v>28</v>
      </c>
      <c r="C21" s="30">
        <v>20000</v>
      </c>
      <c r="D21" s="30"/>
      <c r="E21" s="30"/>
      <c r="F21" s="30"/>
      <c r="G21" s="30"/>
      <c r="H21" s="30"/>
      <c r="I21" s="30"/>
      <c r="J21" s="46"/>
      <c r="K21" s="46"/>
      <c r="L21" s="30">
        <f t="shared" si="0"/>
        <v>20000</v>
      </c>
      <c r="M21" s="30">
        <v>0</v>
      </c>
      <c r="N21" s="30">
        <f t="shared" si="1"/>
        <v>20000</v>
      </c>
      <c r="O21" s="29">
        <f>M21/$M$26</f>
        <v>0</v>
      </c>
    </row>
    <row r="22" spans="1:15" ht="15.95" customHeight="1" x14ac:dyDescent="0.25">
      <c r="A22" s="32" t="s">
        <v>31</v>
      </c>
      <c r="B22" s="32" t="s">
        <v>33</v>
      </c>
      <c r="C22" s="33">
        <v>239501.9</v>
      </c>
      <c r="D22" s="33"/>
      <c r="E22" s="33"/>
      <c r="F22" s="33"/>
      <c r="G22" s="33"/>
      <c r="H22" s="33"/>
      <c r="I22" s="33"/>
      <c r="J22" s="70"/>
      <c r="K22" s="70"/>
      <c r="L22" s="30">
        <f t="shared" si="0"/>
        <v>239501.9</v>
      </c>
      <c r="M22" s="30">
        <f>53680.2+72857.59</f>
        <v>126537.79</v>
      </c>
      <c r="N22" s="30">
        <f t="shared" si="1"/>
        <v>112964.11</v>
      </c>
      <c r="O22" s="29">
        <f>M22/$M$26</f>
        <v>6.075185453868065E-2</v>
      </c>
    </row>
    <row r="23" spans="1:15" ht="15.95" customHeight="1" x14ac:dyDescent="0.25">
      <c r="A23" s="27"/>
      <c r="B23" s="27" t="s">
        <v>193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30"/>
      <c r="N23" s="28"/>
      <c r="O23" s="29"/>
    </row>
    <row r="24" spans="1:15" ht="15.95" customHeight="1" x14ac:dyDescent="0.25">
      <c r="A24" s="31" t="s">
        <v>196</v>
      </c>
      <c r="B24" s="31" t="s">
        <v>197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>
        <v>0</v>
      </c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195</v>
      </c>
      <c r="B25" s="31" t="s">
        <v>194</v>
      </c>
      <c r="C25" s="30">
        <v>1025276.81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1025276.81</v>
      </c>
      <c r="M25" s="30"/>
      <c r="N25" s="30">
        <f>L25-M25</f>
        <v>1025276.81</v>
      </c>
      <c r="O25" s="29">
        <f>M25/$M$26</f>
        <v>0</v>
      </c>
    </row>
    <row r="26" spans="1:15" ht="18" customHeight="1" thickBot="1" x14ac:dyDescent="0.3">
      <c r="A26" s="34"/>
      <c r="B26" s="35" t="s">
        <v>34</v>
      </c>
      <c r="C26" s="36">
        <f>SUM(C9:C25)</f>
        <v>6416776.6100000013</v>
      </c>
      <c r="D26" s="36">
        <f t="shared" ref="D26:N26" si="2">SUM(D9:D25)</f>
        <v>0</v>
      </c>
      <c r="E26" s="36">
        <f t="shared" si="2"/>
        <v>0</v>
      </c>
      <c r="F26" s="36">
        <f t="shared" si="2"/>
        <v>0</v>
      </c>
      <c r="G26" s="36">
        <f t="shared" si="2"/>
        <v>0</v>
      </c>
      <c r="H26" s="36">
        <f t="shared" si="2"/>
        <v>0</v>
      </c>
      <c r="I26" s="36">
        <f t="shared" si="2"/>
        <v>0</v>
      </c>
      <c r="J26" s="36">
        <f t="shared" si="2"/>
        <v>0</v>
      </c>
      <c r="K26" s="36">
        <f t="shared" si="2"/>
        <v>0</v>
      </c>
      <c r="L26" s="36">
        <f t="shared" si="2"/>
        <v>6416776.6100000013</v>
      </c>
      <c r="M26" s="36">
        <f t="shared" si="2"/>
        <v>2082863</v>
      </c>
      <c r="N26" s="36">
        <f t="shared" si="2"/>
        <v>4333913.6099999994</v>
      </c>
      <c r="O26" s="29"/>
    </row>
    <row r="27" spans="1:15" ht="15.95" customHeight="1" x14ac:dyDescent="0.2">
      <c r="A27" s="37"/>
      <c r="B27" s="37"/>
      <c r="C27" s="38">
        <f>6416776.61-C26</f>
        <v>0</v>
      </c>
      <c r="D27" s="38"/>
      <c r="E27" s="38"/>
      <c r="F27" s="38"/>
      <c r="G27" s="38"/>
      <c r="H27" s="38"/>
      <c r="I27" s="38"/>
      <c r="J27" s="69"/>
      <c r="K27" s="69"/>
      <c r="L27" s="38"/>
      <c r="M27" s="38"/>
      <c r="N27" s="38"/>
      <c r="O27" s="39"/>
    </row>
    <row r="28" spans="1:15" ht="15.95" customHeight="1" x14ac:dyDescent="0.25">
      <c r="A28" s="27" t="s">
        <v>35</v>
      </c>
      <c r="B28" s="27" t="s">
        <v>36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37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38</v>
      </c>
      <c r="B31" s="31" t="s">
        <v>159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v>379422.6</v>
      </c>
      <c r="N31" s="30">
        <f t="shared" ref="N31:N95" si="3">L31-M31</f>
        <v>405149.44000000006</v>
      </c>
      <c r="O31" s="40">
        <f t="shared" ref="O31:O40" si="4">M31/$M$134</f>
        <v>0.25865669106638828</v>
      </c>
    </row>
    <row r="32" spans="1:15" ht="15.95" customHeight="1" x14ac:dyDescent="0.2">
      <c r="A32" s="43" t="s">
        <v>39</v>
      </c>
      <c r="B32" s="31" t="s">
        <v>160</v>
      </c>
      <c r="C32" s="30">
        <v>4500</v>
      </c>
      <c r="D32" s="30"/>
      <c r="E32" s="30"/>
      <c r="F32" s="46"/>
      <c r="G32" s="46"/>
      <c r="H32" s="30"/>
      <c r="I32" s="30"/>
      <c r="J32" s="46"/>
      <c r="K32" s="46"/>
      <c r="L32" s="30">
        <f t="shared" ref="L32:L40" si="5">C32+D32-E32+F32-G32+H32-I32+J32-K32</f>
        <v>4500</v>
      </c>
      <c r="M32" s="30">
        <v>3375</v>
      </c>
      <c r="N32" s="30">
        <f t="shared" si="3"/>
        <v>1125</v>
      </c>
      <c r="O32" s="40">
        <f t="shared" si="4"/>
        <v>2.3007757902377465E-3</v>
      </c>
    </row>
    <row r="33" spans="1:15" ht="15.95" customHeight="1" x14ac:dyDescent="0.2">
      <c r="A33" s="43" t="s">
        <v>40</v>
      </c>
      <c r="B33" s="31" t="s">
        <v>161</v>
      </c>
      <c r="C33" s="30">
        <v>281100</v>
      </c>
      <c r="D33" s="30"/>
      <c r="E33" s="30"/>
      <c r="F33" s="46"/>
      <c r="G33" s="46"/>
      <c r="H33" s="30"/>
      <c r="I33" s="30"/>
      <c r="J33" s="46"/>
      <c r="K33" s="46"/>
      <c r="L33" s="30">
        <f t="shared" si="5"/>
        <v>281100</v>
      </c>
      <c r="M33" s="30">
        <v>130273.97</v>
      </c>
      <c r="N33" s="30">
        <f t="shared" si="3"/>
        <v>150826.03</v>
      </c>
      <c r="O33" s="40">
        <f t="shared" si="4"/>
        <v>8.8809243340491409E-2</v>
      </c>
    </row>
    <row r="34" spans="1:15" ht="15.95" customHeight="1" x14ac:dyDescent="0.2">
      <c r="A34" s="43" t="s">
        <v>41</v>
      </c>
      <c r="B34" s="31" t="s">
        <v>42</v>
      </c>
      <c r="C34" s="30">
        <v>17500</v>
      </c>
      <c r="D34" s="30"/>
      <c r="E34" s="30"/>
      <c r="F34" s="46"/>
      <c r="G34" s="46"/>
      <c r="H34" s="30"/>
      <c r="I34" s="30"/>
      <c r="J34" s="46"/>
      <c r="K34" s="46"/>
      <c r="L34" s="30">
        <f t="shared" si="5"/>
        <v>17500</v>
      </c>
      <c r="M34" s="30">
        <v>0</v>
      </c>
      <c r="N34" s="30">
        <f t="shared" si="3"/>
        <v>17500</v>
      </c>
      <c r="O34" s="40">
        <f t="shared" si="4"/>
        <v>0</v>
      </c>
    </row>
    <row r="35" spans="1:15" ht="15.95" customHeight="1" x14ac:dyDescent="0.2">
      <c r="A35" s="43" t="s">
        <v>43</v>
      </c>
      <c r="B35" s="31" t="s">
        <v>162</v>
      </c>
      <c r="C35" s="30">
        <v>34510.800000000003</v>
      </c>
      <c r="D35" s="30"/>
      <c r="E35" s="30"/>
      <c r="F35" s="46"/>
      <c r="G35" s="46"/>
      <c r="H35" s="30"/>
      <c r="I35" s="30"/>
      <c r="J35" s="46"/>
      <c r="K35" s="46"/>
      <c r="L35" s="30">
        <f t="shared" si="5"/>
        <v>34510.800000000003</v>
      </c>
      <c r="M35" s="30">
        <v>7079.65</v>
      </c>
      <c r="N35" s="30">
        <f t="shared" si="3"/>
        <v>27431.15</v>
      </c>
      <c r="O35" s="40">
        <f t="shared" si="4"/>
        <v>4.8262777254390113E-3</v>
      </c>
    </row>
    <row r="36" spans="1:15" ht="15.95" customHeight="1" x14ac:dyDescent="0.2">
      <c r="A36" s="43" t="s">
        <v>44</v>
      </c>
      <c r="B36" s="31" t="s">
        <v>163</v>
      </c>
      <c r="C36" s="30">
        <v>87401.15</v>
      </c>
      <c r="D36" s="30"/>
      <c r="E36" s="30"/>
      <c r="F36" s="46"/>
      <c r="G36" s="46"/>
      <c r="H36" s="30"/>
      <c r="I36" s="30"/>
      <c r="J36" s="46"/>
      <c r="K36" s="46"/>
      <c r="L36" s="30">
        <f t="shared" si="5"/>
        <v>87401.15</v>
      </c>
      <c r="M36" s="30">
        <v>41636.589999999997</v>
      </c>
      <c r="N36" s="30">
        <f t="shared" si="3"/>
        <v>45764.56</v>
      </c>
      <c r="O36" s="40">
        <f t="shared" si="4"/>
        <v>2.8384135780757051E-2</v>
      </c>
    </row>
    <row r="37" spans="1:15" ht="15.95" customHeight="1" x14ac:dyDescent="0.2">
      <c r="A37" s="43" t="s">
        <v>45</v>
      </c>
      <c r="B37" s="31" t="s">
        <v>164</v>
      </c>
      <c r="C37" s="30">
        <v>8190.84</v>
      </c>
      <c r="D37" s="30"/>
      <c r="E37" s="30"/>
      <c r="F37" s="46"/>
      <c r="G37" s="46"/>
      <c r="H37" s="30"/>
      <c r="I37" s="30"/>
      <c r="J37" s="46"/>
      <c r="K37" s="46"/>
      <c r="L37" s="30">
        <f t="shared" si="5"/>
        <v>8190.84</v>
      </c>
      <c r="M37" s="30">
        <v>3902.22</v>
      </c>
      <c r="N37" s="30">
        <f t="shared" si="3"/>
        <v>4288.6200000000008</v>
      </c>
      <c r="O37" s="40">
        <f t="shared" si="4"/>
        <v>2.6601876456834191E-3</v>
      </c>
    </row>
    <row r="38" spans="1:15" ht="15.95" customHeight="1" x14ac:dyDescent="0.2">
      <c r="A38" s="43" t="s">
        <v>46</v>
      </c>
      <c r="B38" s="31" t="s">
        <v>47</v>
      </c>
      <c r="C38" s="30">
        <v>67581.009999999995</v>
      </c>
      <c r="D38" s="30"/>
      <c r="E38" s="30"/>
      <c r="F38" s="46"/>
      <c r="G38" s="46"/>
      <c r="H38" s="30"/>
      <c r="I38" s="30"/>
      <c r="J38" s="46"/>
      <c r="K38" s="46"/>
      <c r="L38" s="30">
        <f t="shared" si="5"/>
        <v>67581.009999999995</v>
      </c>
      <c r="M38" s="30">
        <v>2868.5</v>
      </c>
      <c r="N38" s="30">
        <f t="shared" si="3"/>
        <v>64712.509999999995</v>
      </c>
      <c r="O38" s="40">
        <f t="shared" si="4"/>
        <v>1.9554889938657705E-3</v>
      </c>
    </row>
    <row r="39" spans="1:15" ht="15.95" customHeight="1" x14ac:dyDescent="0.2">
      <c r="A39" s="43" t="s">
        <v>48</v>
      </c>
      <c r="B39" s="31" t="s">
        <v>165</v>
      </c>
      <c r="C39" s="30">
        <v>67581.009999999995</v>
      </c>
      <c r="D39" s="30"/>
      <c r="E39" s="30"/>
      <c r="F39" s="46"/>
      <c r="G39" s="46"/>
      <c r="H39" s="30"/>
      <c r="I39" s="30"/>
      <c r="J39" s="46"/>
      <c r="K39" s="46"/>
      <c r="L39" s="30">
        <f t="shared" si="5"/>
        <v>67581.009999999995</v>
      </c>
      <c r="M39" s="30">
        <v>6465.89</v>
      </c>
      <c r="N39" s="30">
        <f t="shared" si="3"/>
        <v>61115.119999999995</v>
      </c>
      <c r="O39" s="40">
        <f t="shared" si="4"/>
        <v>4.4078705701749172E-3</v>
      </c>
    </row>
    <row r="40" spans="1:15" ht="15.95" customHeight="1" x14ac:dyDescent="0.2">
      <c r="A40" s="43" t="s">
        <v>49</v>
      </c>
      <c r="B40" s="31" t="s">
        <v>50</v>
      </c>
      <c r="C40" s="30">
        <v>4400</v>
      </c>
      <c r="D40" s="30"/>
      <c r="E40" s="30"/>
      <c r="F40" s="46"/>
      <c r="G40" s="46"/>
      <c r="H40" s="30"/>
      <c r="I40" s="30"/>
      <c r="J40" s="46"/>
      <c r="K40" s="46"/>
      <c r="L40" s="30">
        <f t="shared" si="5"/>
        <v>4400</v>
      </c>
      <c r="M40" s="30">
        <v>99.73</v>
      </c>
      <c r="N40" s="30">
        <f t="shared" si="3"/>
        <v>4300.2700000000004</v>
      </c>
      <c r="O40" s="40">
        <f t="shared" si="4"/>
        <v>6.7987072462343849E-5</v>
      </c>
    </row>
    <row r="41" spans="1:15" ht="15.95" customHeight="1" x14ac:dyDescent="0.2">
      <c r="A41" s="43"/>
      <c r="B41" s="31"/>
      <c r="C41" s="30"/>
      <c r="D41" s="30"/>
      <c r="E41" s="30"/>
      <c r="F41" s="46"/>
      <c r="G41" s="46"/>
      <c r="H41" s="30"/>
      <c r="I41" s="30"/>
      <c r="J41" s="46"/>
      <c r="K41" s="46"/>
      <c r="L41" s="30"/>
      <c r="M41" s="30"/>
      <c r="N41" s="30"/>
      <c r="O41" s="40"/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5">
      <c r="A43" s="41">
        <v>1</v>
      </c>
      <c r="B43" s="42" t="s">
        <v>51</v>
      </c>
      <c r="C43" s="28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">
      <c r="A44" s="43" t="s">
        <v>96</v>
      </c>
      <c r="B44" s="31" t="s">
        <v>52</v>
      </c>
      <c r="C44" s="30">
        <v>13750</v>
      </c>
      <c r="D44" s="30"/>
      <c r="E44" s="30"/>
      <c r="F44" s="46"/>
      <c r="G44" s="46"/>
      <c r="H44" s="30"/>
      <c r="I44" s="30"/>
      <c r="J44" s="46"/>
      <c r="K44" s="46"/>
      <c r="L44" s="30">
        <f t="shared" ref="L44:L75" si="6">C44+D44-E44+F44-G44+H44-I44+J44-K44</f>
        <v>13750</v>
      </c>
      <c r="M44" s="30">
        <v>2982.68</v>
      </c>
      <c r="N44" s="30">
        <f t="shared" si="3"/>
        <v>10767.32</v>
      </c>
      <c r="O44" s="40">
        <f t="shared" ref="O44:O75" si="7">M44/$M$134</f>
        <v>2.0333267952670582E-3</v>
      </c>
    </row>
    <row r="45" spans="1:15" ht="15.95" customHeight="1" x14ac:dyDescent="0.2">
      <c r="A45" s="43" t="s">
        <v>97</v>
      </c>
      <c r="B45" s="31" t="s">
        <v>53</v>
      </c>
      <c r="C45" s="30">
        <v>26100</v>
      </c>
      <c r="D45" s="30"/>
      <c r="E45" s="30"/>
      <c r="F45" s="46"/>
      <c r="G45" s="46"/>
      <c r="H45" s="30"/>
      <c r="I45" s="30"/>
      <c r="J45" s="46"/>
      <c r="K45" s="46"/>
      <c r="L45" s="30">
        <f t="shared" si="6"/>
        <v>26100</v>
      </c>
      <c r="M45" s="30">
        <v>11247.42</v>
      </c>
      <c r="N45" s="30">
        <f t="shared" si="3"/>
        <v>14852.58</v>
      </c>
      <c r="O45" s="40">
        <f t="shared" si="7"/>
        <v>7.6674938188550628E-3</v>
      </c>
    </row>
    <row r="46" spans="1:15" ht="15.95" customHeight="1" x14ac:dyDescent="0.2">
      <c r="A46" s="43" t="s">
        <v>98</v>
      </c>
      <c r="B46" s="31" t="s">
        <v>54</v>
      </c>
      <c r="C46" s="30">
        <v>2000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2000</v>
      </c>
      <c r="M46" s="30">
        <v>135</v>
      </c>
      <c r="N46" s="30">
        <f t="shared" si="3"/>
        <v>1865</v>
      </c>
      <c r="O46" s="40">
        <f t="shared" si="7"/>
        <v>9.2031031609509864E-5</v>
      </c>
    </row>
    <row r="47" spans="1:15" ht="15.95" customHeight="1" x14ac:dyDescent="0.2">
      <c r="A47" s="43" t="s">
        <v>99</v>
      </c>
      <c r="B47" s="31" t="s">
        <v>166</v>
      </c>
      <c r="C47" s="30">
        <v>8000</v>
      </c>
      <c r="D47" s="30"/>
      <c r="E47" s="30"/>
      <c r="F47" s="46"/>
      <c r="G47" s="46"/>
      <c r="H47" s="30"/>
      <c r="I47" s="30"/>
      <c r="J47" s="46"/>
      <c r="K47" s="46"/>
      <c r="L47" s="30">
        <f t="shared" si="6"/>
        <v>8000</v>
      </c>
      <c r="M47" s="30">
        <v>5119.6099999999997</v>
      </c>
      <c r="N47" s="30">
        <f t="shared" si="3"/>
        <v>2880.3900000000003</v>
      </c>
      <c r="O47" s="40">
        <f t="shared" si="7"/>
        <v>3.4900962202841688E-3</v>
      </c>
    </row>
    <row r="48" spans="1:15" ht="15.95" customHeight="1" x14ac:dyDescent="0.2">
      <c r="A48" s="43" t="s">
        <v>100</v>
      </c>
      <c r="B48" s="31" t="s">
        <v>167</v>
      </c>
      <c r="C48" s="30">
        <v>14250</v>
      </c>
      <c r="D48" s="30"/>
      <c r="E48" s="30"/>
      <c r="F48" s="46"/>
      <c r="G48" s="46"/>
      <c r="H48" s="30"/>
      <c r="I48" s="30"/>
      <c r="J48" s="46"/>
      <c r="K48" s="46"/>
      <c r="L48" s="30">
        <f t="shared" si="6"/>
        <v>14250</v>
      </c>
      <c r="M48" s="30">
        <v>494.75</v>
      </c>
      <c r="N48" s="30">
        <f t="shared" si="3"/>
        <v>13755.25</v>
      </c>
      <c r="O48" s="40">
        <f t="shared" si="7"/>
        <v>3.3727668806522227E-4</v>
      </c>
    </row>
    <row r="49" spans="1:15" ht="15.95" customHeight="1" x14ac:dyDescent="0.2">
      <c r="A49" s="43" t="s">
        <v>101</v>
      </c>
      <c r="B49" s="31" t="s">
        <v>168</v>
      </c>
      <c r="C49" s="30">
        <v>1176868.53</v>
      </c>
      <c r="D49" s="30"/>
      <c r="E49" s="30">
        <v>129000</v>
      </c>
      <c r="F49" s="46"/>
      <c r="G49" s="46"/>
      <c r="H49" s="30"/>
      <c r="I49" s="30"/>
      <c r="J49" s="46"/>
      <c r="K49" s="46"/>
      <c r="L49" s="30">
        <f t="shared" si="6"/>
        <v>1047868.53</v>
      </c>
      <c r="M49" s="30">
        <v>242364.35</v>
      </c>
      <c r="N49" s="30">
        <f t="shared" si="3"/>
        <v>805504.18</v>
      </c>
      <c r="O49" s="40">
        <f t="shared" si="7"/>
        <v>0.16522252708050603</v>
      </c>
    </row>
    <row r="50" spans="1:15" ht="15.95" customHeight="1" x14ac:dyDescent="0.2">
      <c r="A50" s="43" t="s">
        <v>102</v>
      </c>
      <c r="B50" s="31" t="s">
        <v>55</v>
      </c>
      <c r="C50" s="30">
        <v>619609.80000000005</v>
      </c>
      <c r="D50" s="30"/>
      <c r="E50" s="30"/>
      <c r="F50" s="46"/>
      <c r="G50" s="46"/>
      <c r="H50" s="30"/>
      <c r="I50" s="30"/>
      <c r="J50" s="46"/>
      <c r="K50" s="46"/>
      <c r="L50" s="30">
        <f t="shared" si="6"/>
        <v>619609.80000000005</v>
      </c>
      <c r="M50" s="30">
        <v>77764.509999999995</v>
      </c>
      <c r="N50" s="30">
        <f t="shared" si="3"/>
        <v>541845.29</v>
      </c>
      <c r="O50" s="40">
        <f t="shared" si="7"/>
        <v>5.3012948725244778E-2</v>
      </c>
    </row>
    <row r="51" spans="1:15" ht="15.95" customHeight="1" x14ac:dyDescent="0.2">
      <c r="A51" s="43" t="s">
        <v>103</v>
      </c>
      <c r="B51" s="31" t="s">
        <v>169</v>
      </c>
      <c r="C51" s="30">
        <v>504047.6</v>
      </c>
      <c r="D51" s="30"/>
      <c r="E51" s="30"/>
      <c r="F51" s="46"/>
      <c r="G51" s="46"/>
      <c r="H51" s="30"/>
      <c r="I51" s="30"/>
      <c r="J51" s="46"/>
      <c r="K51" s="46"/>
      <c r="L51" s="30">
        <f t="shared" si="6"/>
        <v>504047.6</v>
      </c>
      <c r="M51" s="30">
        <v>161379.76</v>
      </c>
      <c r="N51" s="30">
        <f t="shared" si="3"/>
        <v>342667.83999999997</v>
      </c>
      <c r="O51" s="40">
        <f t="shared" si="7"/>
        <v>0.11001441328663049</v>
      </c>
    </row>
    <row r="52" spans="1:15" ht="15.95" customHeight="1" x14ac:dyDescent="0.2">
      <c r="A52" s="43" t="s">
        <v>104</v>
      </c>
      <c r="B52" s="31" t="s">
        <v>56</v>
      </c>
      <c r="C52" s="30">
        <v>20750</v>
      </c>
      <c r="D52" s="30"/>
      <c r="E52" s="30"/>
      <c r="F52" s="46"/>
      <c r="G52" s="46"/>
      <c r="H52" s="30"/>
      <c r="I52" s="30"/>
      <c r="J52" s="46"/>
      <c r="K52" s="46"/>
      <c r="L52" s="30">
        <f t="shared" si="6"/>
        <v>20750</v>
      </c>
      <c r="M52" s="30">
        <v>7670.83</v>
      </c>
      <c r="N52" s="30">
        <f t="shared" si="3"/>
        <v>13079.17</v>
      </c>
      <c r="O52" s="40">
        <f t="shared" si="7"/>
        <v>5.2292918385272334E-3</v>
      </c>
    </row>
    <row r="53" spans="1:15" ht="15.95" customHeight="1" x14ac:dyDescent="0.2">
      <c r="A53" s="43" t="s">
        <v>105</v>
      </c>
      <c r="B53" s="31" t="s">
        <v>57</v>
      </c>
      <c r="C53" s="30">
        <v>42500</v>
      </c>
      <c r="D53" s="30"/>
      <c r="E53" s="30"/>
      <c r="F53" s="46"/>
      <c r="G53" s="46"/>
      <c r="H53" s="30"/>
      <c r="I53" s="30"/>
      <c r="J53" s="46"/>
      <c r="K53" s="46"/>
      <c r="L53" s="30">
        <f t="shared" si="6"/>
        <v>42500</v>
      </c>
      <c r="M53" s="30">
        <v>500</v>
      </c>
      <c r="N53" s="30">
        <f t="shared" si="3"/>
        <v>42000</v>
      </c>
      <c r="O53" s="40">
        <f t="shared" si="7"/>
        <v>3.4085567262781433E-4</v>
      </c>
    </row>
    <row r="54" spans="1:15" ht="15.95" customHeight="1" x14ac:dyDescent="0.2">
      <c r="A54" s="43" t="s">
        <v>106</v>
      </c>
      <c r="B54" s="31" t="s">
        <v>58</v>
      </c>
      <c r="C54" s="30">
        <v>4400</v>
      </c>
      <c r="D54" s="30"/>
      <c r="E54" s="30"/>
      <c r="F54" s="46"/>
      <c r="G54" s="46"/>
      <c r="H54" s="30"/>
      <c r="I54" s="30"/>
      <c r="J54" s="46"/>
      <c r="K54" s="46"/>
      <c r="L54" s="30">
        <f t="shared" si="6"/>
        <v>4400</v>
      </c>
      <c r="M54" s="30">
        <v>1620</v>
      </c>
      <c r="N54" s="30">
        <f t="shared" si="3"/>
        <v>2780</v>
      </c>
      <c r="O54" s="40">
        <f t="shared" si="7"/>
        <v>1.1043723793141185E-3</v>
      </c>
    </row>
    <row r="55" spans="1:15" ht="15.95" customHeight="1" x14ac:dyDescent="0.2">
      <c r="A55" s="43" t="s">
        <v>107</v>
      </c>
      <c r="B55" s="31" t="s">
        <v>170</v>
      </c>
      <c r="C55" s="30">
        <v>3004.32</v>
      </c>
      <c r="D55" s="30"/>
      <c r="E55" s="30"/>
      <c r="F55" s="46"/>
      <c r="G55" s="46"/>
      <c r="H55" s="30"/>
      <c r="I55" s="30"/>
      <c r="J55" s="46"/>
      <c r="K55" s="46"/>
      <c r="L55" s="30">
        <f t="shared" si="6"/>
        <v>3004.32</v>
      </c>
      <c r="M55" s="30">
        <v>630</v>
      </c>
      <c r="N55" s="30">
        <f t="shared" si="3"/>
        <v>2374.3200000000002</v>
      </c>
      <c r="O55" s="40">
        <f t="shared" si="7"/>
        <v>4.2947814751104603E-4</v>
      </c>
    </row>
    <row r="56" spans="1:15" ht="15.95" customHeight="1" x14ac:dyDescent="0.2">
      <c r="A56" s="43" t="s">
        <v>108</v>
      </c>
      <c r="B56" s="31" t="s">
        <v>171</v>
      </c>
      <c r="C56" s="30">
        <v>7750</v>
      </c>
      <c r="D56" s="30"/>
      <c r="E56" s="30"/>
      <c r="F56" s="46"/>
      <c r="G56" s="46"/>
      <c r="H56" s="30"/>
      <c r="I56" s="30"/>
      <c r="J56" s="46"/>
      <c r="K56" s="46"/>
      <c r="L56" s="30">
        <f t="shared" si="6"/>
        <v>7750</v>
      </c>
      <c r="M56" s="30">
        <v>0</v>
      </c>
      <c r="N56" s="30">
        <f t="shared" si="3"/>
        <v>7750</v>
      </c>
      <c r="O56" s="40">
        <f t="shared" si="7"/>
        <v>0</v>
      </c>
    </row>
    <row r="57" spans="1:15" ht="15.95" customHeight="1" x14ac:dyDescent="0.2">
      <c r="A57" s="43" t="s">
        <v>109</v>
      </c>
      <c r="B57" s="31" t="s">
        <v>172</v>
      </c>
      <c r="C57" s="30">
        <v>7000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7000</v>
      </c>
      <c r="M57" s="30">
        <v>263.2</v>
      </c>
      <c r="N57" s="30">
        <f t="shared" si="3"/>
        <v>6736.8</v>
      </c>
      <c r="O57" s="40">
        <f t="shared" si="7"/>
        <v>1.7942642607128145E-4</v>
      </c>
    </row>
    <row r="58" spans="1:15" ht="15.95" customHeight="1" x14ac:dyDescent="0.2">
      <c r="A58" s="43" t="s">
        <v>110</v>
      </c>
      <c r="B58" s="31" t="s">
        <v>173</v>
      </c>
      <c r="C58" s="30">
        <v>4000</v>
      </c>
      <c r="D58" s="30"/>
      <c r="E58" s="30"/>
      <c r="F58" s="46"/>
      <c r="G58" s="46"/>
      <c r="H58" s="30"/>
      <c r="I58" s="30"/>
      <c r="J58" s="46"/>
      <c r="K58" s="46"/>
      <c r="L58" s="30">
        <f t="shared" si="6"/>
        <v>4000</v>
      </c>
      <c r="M58" s="30">
        <v>1335</v>
      </c>
      <c r="N58" s="30">
        <f t="shared" si="3"/>
        <v>2665</v>
      </c>
      <c r="O58" s="40">
        <f t="shared" si="7"/>
        <v>9.1008464591626418E-4</v>
      </c>
    </row>
    <row r="59" spans="1:15" ht="15.95" hidden="1" customHeight="1" x14ac:dyDescent="0.2">
      <c r="A59" s="43" t="s">
        <v>111</v>
      </c>
      <c r="B59" s="31" t="s">
        <v>174</v>
      </c>
      <c r="C59" s="30"/>
      <c r="D59" s="30"/>
      <c r="E59" s="30"/>
      <c r="F59" s="46"/>
      <c r="G59" s="46"/>
      <c r="H59" s="30"/>
      <c r="I59" s="30"/>
      <c r="J59" s="46"/>
      <c r="K59" s="46"/>
      <c r="L59" s="30">
        <f t="shared" si="6"/>
        <v>0</v>
      </c>
      <c r="M59" s="30">
        <v>0</v>
      </c>
      <c r="N59" s="30">
        <f t="shared" si="3"/>
        <v>0</v>
      </c>
      <c r="O59" s="40">
        <f t="shared" si="7"/>
        <v>0</v>
      </c>
    </row>
    <row r="60" spans="1:15" ht="15.95" customHeight="1" x14ac:dyDescent="0.2">
      <c r="A60" s="43" t="s">
        <v>112</v>
      </c>
      <c r="B60" s="31" t="s">
        <v>175</v>
      </c>
      <c r="C60" s="30">
        <v>9750</v>
      </c>
      <c r="D60" s="30"/>
      <c r="E60" s="30"/>
      <c r="F60" s="46"/>
      <c r="G60" s="46"/>
      <c r="H60" s="30"/>
      <c r="I60" s="30"/>
      <c r="J60" s="46"/>
      <c r="K60" s="46"/>
      <c r="L60" s="30">
        <f t="shared" si="6"/>
        <v>9750</v>
      </c>
      <c r="M60" s="30">
        <v>0</v>
      </c>
      <c r="N60" s="30">
        <f t="shared" si="3"/>
        <v>9750</v>
      </c>
      <c r="O60" s="40">
        <f t="shared" si="7"/>
        <v>0</v>
      </c>
    </row>
    <row r="61" spans="1:15" ht="15.95" customHeight="1" x14ac:dyDescent="0.2">
      <c r="A61" s="43" t="s">
        <v>113</v>
      </c>
      <c r="B61" s="31" t="s">
        <v>176</v>
      </c>
      <c r="C61" s="30">
        <v>260706.83</v>
      </c>
      <c r="D61" s="30"/>
      <c r="E61" s="30"/>
      <c r="F61" s="46"/>
      <c r="G61" s="46"/>
      <c r="H61" s="30"/>
      <c r="I61" s="30"/>
      <c r="J61" s="46"/>
      <c r="K61" s="46"/>
      <c r="L61" s="30">
        <f t="shared" si="6"/>
        <v>260706.83</v>
      </c>
      <c r="M61" s="30">
        <v>0</v>
      </c>
      <c r="N61" s="30">
        <f t="shared" si="3"/>
        <v>260706.83</v>
      </c>
      <c r="O61" s="40">
        <f t="shared" si="7"/>
        <v>0</v>
      </c>
    </row>
    <row r="62" spans="1:15" ht="15.95" customHeight="1" x14ac:dyDescent="0.2">
      <c r="A62" s="43">
        <v>182</v>
      </c>
      <c r="B62" s="31" t="s">
        <v>255</v>
      </c>
      <c r="C62" s="30">
        <v>0</v>
      </c>
      <c r="D62" s="30">
        <v>2500</v>
      </c>
      <c r="E62" s="30"/>
      <c r="F62" s="46"/>
      <c r="G62" s="46"/>
      <c r="H62" s="30"/>
      <c r="I62" s="30"/>
      <c r="J62" s="46"/>
      <c r="K62" s="46"/>
      <c r="L62" s="30">
        <f t="shared" si="6"/>
        <v>2500</v>
      </c>
      <c r="M62" s="30">
        <v>0</v>
      </c>
      <c r="N62" s="30">
        <f t="shared" si="3"/>
        <v>2500</v>
      </c>
      <c r="O62" s="40">
        <f t="shared" si="7"/>
        <v>0</v>
      </c>
    </row>
    <row r="63" spans="1:15" ht="15.95" customHeight="1" x14ac:dyDescent="0.2">
      <c r="A63" s="43" t="s">
        <v>114</v>
      </c>
      <c r="B63" s="31" t="s">
        <v>177</v>
      </c>
      <c r="C63" s="30">
        <v>15000</v>
      </c>
      <c r="D63" s="30">
        <v>12000</v>
      </c>
      <c r="E63" s="30"/>
      <c r="F63" s="46"/>
      <c r="G63" s="46"/>
      <c r="H63" s="30"/>
      <c r="I63" s="30"/>
      <c r="J63" s="46"/>
      <c r="K63" s="46"/>
      <c r="L63" s="30">
        <f t="shared" si="6"/>
        <v>27000</v>
      </c>
      <c r="M63" s="30">
        <v>5350</v>
      </c>
      <c r="N63" s="30">
        <f t="shared" si="3"/>
        <v>21650</v>
      </c>
      <c r="O63" s="40">
        <f t="shared" si="7"/>
        <v>3.6471556971176132E-3</v>
      </c>
    </row>
    <row r="64" spans="1:15" ht="15.95" customHeight="1" x14ac:dyDescent="0.2">
      <c r="A64" s="43" t="s">
        <v>115</v>
      </c>
      <c r="B64" s="31" t="s">
        <v>178</v>
      </c>
      <c r="C64" s="30">
        <v>54000</v>
      </c>
      <c r="D64" s="30"/>
      <c r="E64" s="30"/>
      <c r="F64" s="46"/>
      <c r="G64" s="46"/>
      <c r="H64" s="30"/>
      <c r="I64" s="30"/>
      <c r="J64" s="46"/>
      <c r="K64" s="46"/>
      <c r="L64" s="30">
        <f t="shared" si="6"/>
        <v>54000</v>
      </c>
      <c r="M64" s="30">
        <v>27000</v>
      </c>
      <c r="N64" s="30">
        <f t="shared" si="3"/>
        <v>27000</v>
      </c>
      <c r="O64" s="40">
        <f t="shared" si="7"/>
        <v>1.8406206321901972E-2</v>
      </c>
    </row>
    <row r="65" spans="1:15" ht="15.95" customHeight="1" x14ac:dyDescent="0.2">
      <c r="A65" s="43" t="s">
        <v>116</v>
      </c>
      <c r="B65" s="31" t="s">
        <v>59</v>
      </c>
      <c r="C65" s="30">
        <v>7500</v>
      </c>
      <c r="D65" s="30"/>
      <c r="E65" s="30"/>
      <c r="F65" s="46"/>
      <c r="G65" s="46"/>
      <c r="H65" s="30"/>
      <c r="I65" s="30"/>
      <c r="J65" s="46"/>
      <c r="K65" s="46"/>
      <c r="L65" s="30">
        <f t="shared" si="6"/>
        <v>7500</v>
      </c>
      <c r="M65" s="30">
        <v>500</v>
      </c>
      <c r="N65" s="30">
        <f t="shared" si="3"/>
        <v>7000</v>
      </c>
      <c r="O65" s="40">
        <f t="shared" si="7"/>
        <v>3.4085567262781433E-4</v>
      </c>
    </row>
    <row r="66" spans="1:15" ht="15.95" customHeight="1" x14ac:dyDescent="0.2">
      <c r="A66" s="43" t="s">
        <v>117</v>
      </c>
      <c r="B66" s="31" t="s">
        <v>179</v>
      </c>
      <c r="C66" s="30">
        <v>24540</v>
      </c>
      <c r="D66" s="30"/>
      <c r="E66" s="30"/>
      <c r="F66" s="46"/>
      <c r="G66" s="46"/>
      <c r="H66" s="30"/>
      <c r="I66" s="30"/>
      <c r="J66" s="46"/>
      <c r="K66" s="46"/>
      <c r="L66" s="30">
        <f t="shared" si="6"/>
        <v>24540</v>
      </c>
      <c r="M66" s="30">
        <v>9285</v>
      </c>
      <c r="N66" s="30">
        <f t="shared" si="3"/>
        <v>15255</v>
      </c>
      <c r="O66" s="40">
        <f t="shared" si="7"/>
        <v>6.329689840698512E-3</v>
      </c>
    </row>
    <row r="67" spans="1:15" ht="15.95" customHeight="1" x14ac:dyDescent="0.2">
      <c r="A67" s="43" t="s">
        <v>118</v>
      </c>
      <c r="B67" s="31" t="s">
        <v>180</v>
      </c>
      <c r="C67" s="30">
        <v>8000</v>
      </c>
      <c r="D67" s="30"/>
      <c r="E67" s="30"/>
      <c r="F67" s="46"/>
      <c r="G67" s="46"/>
      <c r="H67" s="30"/>
      <c r="I67" s="30"/>
      <c r="J67" s="46"/>
      <c r="K67" s="46"/>
      <c r="L67" s="30">
        <f t="shared" si="6"/>
        <v>8000</v>
      </c>
      <c r="M67" s="30">
        <v>3200</v>
      </c>
      <c r="N67" s="30">
        <f t="shared" si="3"/>
        <v>4800</v>
      </c>
      <c r="O67" s="40">
        <f t="shared" si="7"/>
        <v>2.1814763048180114E-3</v>
      </c>
    </row>
    <row r="68" spans="1:15" ht="15.95" customHeight="1" x14ac:dyDescent="0.2">
      <c r="A68" s="43" t="s">
        <v>119</v>
      </c>
      <c r="B68" s="31" t="s">
        <v>181</v>
      </c>
      <c r="C68" s="30">
        <v>8000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8000</v>
      </c>
      <c r="M68" s="30">
        <v>0</v>
      </c>
      <c r="N68" s="30">
        <f t="shared" si="3"/>
        <v>8000</v>
      </c>
      <c r="O68" s="40">
        <f t="shared" si="7"/>
        <v>0</v>
      </c>
    </row>
    <row r="69" spans="1:15" ht="15.95" customHeight="1" x14ac:dyDescent="0.2">
      <c r="A69" s="43" t="s">
        <v>120</v>
      </c>
      <c r="B69" s="31" t="s">
        <v>60</v>
      </c>
      <c r="C69" s="30">
        <v>225800</v>
      </c>
      <c r="D69" s="30">
        <v>17000</v>
      </c>
      <c r="E69" s="30"/>
      <c r="F69" s="46"/>
      <c r="G69" s="46"/>
      <c r="H69" s="30"/>
      <c r="I69" s="30"/>
      <c r="J69" s="46"/>
      <c r="K69" s="46"/>
      <c r="L69" s="30">
        <f t="shared" si="6"/>
        <v>242800</v>
      </c>
      <c r="M69" s="30">
        <v>118012.5</v>
      </c>
      <c r="N69" s="30">
        <f t="shared" si="3"/>
        <v>124787.5</v>
      </c>
      <c r="O69" s="40">
        <f t="shared" si="7"/>
        <v>8.0450460131979873E-2</v>
      </c>
    </row>
    <row r="70" spans="1:15" ht="15.95" customHeight="1" x14ac:dyDescent="0.2">
      <c r="A70" s="43" t="s">
        <v>121</v>
      </c>
      <c r="B70" s="31" t="s">
        <v>182</v>
      </c>
      <c r="C70" s="30">
        <v>8250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8250</v>
      </c>
      <c r="M70" s="30">
        <v>0</v>
      </c>
      <c r="N70" s="30">
        <f t="shared" si="3"/>
        <v>8250</v>
      </c>
      <c r="O70" s="40">
        <f t="shared" si="7"/>
        <v>0</v>
      </c>
    </row>
    <row r="71" spans="1:15" ht="15.95" customHeight="1" x14ac:dyDescent="0.2">
      <c r="A71" s="43" t="s">
        <v>122</v>
      </c>
      <c r="B71" s="31" t="s">
        <v>183</v>
      </c>
      <c r="C71" s="30">
        <v>2500</v>
      </c>
      <c r="D71" s="30"/>
      <c r="E71" s="30"/>
      <c r="F71" s="46"/>
      <c r="G71" s="46"/>
      <c r="H71" s="30"/>
      <c r="I71" s="30"/>
      <c r="J71" s="46"/>
      <c r="K71" s="46"/>
      <c r="L71" s="30">
        <f t="shared" si="6"/>
        <v>2500</v>
      </c>
      <c r="M71" s="30">
        <v>1019.48</v>
      </c>
      <c r="N71" s="30">
        <f t="shared" si="3"/>
        <v>1480.52</v>
      </c>
      <c r="O71" s="40">
        <f t="shared" si="7"/>
        <v>6.9499108226120832E-4</v>
      </c>
    </row>
    <row r="72" spans="1:15" ht="15.95" customHeight="1" x14ac:dyDescent="0.2">
      <c r="A72" s="43" t="s">
        <v>123</v>
      </c>
      <c r="B72" s="31" t="s">
        <v>61</v>
      </c>
      <c r="C72" s="30">
        <v>7000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7000</v>
      </c>
      <c r="M72" s="30">
        <v>274.31</v>
      </c>
      <c r="N72" s="30">
        <f t="shared" si="3"/>
        <v>6725.69</v>
      </c>
      <c r="O72" s="40">
        <f t="shared" si="7"/>
        <v>1.8700023911707149E-4</v>
      </c>
    </row>
    <row r="73" spans="1:15" ht="15.95" customHeight="1" x14ac:dyDescent="0.2">
      <c r="A73" s="43" t="s">
        <v>124</v>
      </c>
      <c r="B73" s="31" t="s">
        <v>184</v>
      </c>
      <c r="C73" s="30">
        <v>2000</v>
      </c>
      <c r="D73" s="30"/>
      <c r="E73" s="30"/>
      <c r="F73" s="46"/>
      <c r="G73" s="46"/>
      <c r="H73" s="30"/>
      <c r="I73" s="30"/>
      <c r="J73" s="46"/>
      <c r="K73" s="46"/>
      <c r="L73" s="30">
        <f t="shared" si="6"/>
        <v>2000</v>
      </c>
      <c r="M73" s="30">
        <v>0</v>
      </c>
      <c r="N73" s="30">
        <f t="shared" si="3"/>
        <v>2000</v>
      </c>
      <c r="O73" s="40">
        <f t="shared" si="7"/>
        <v>0</v>
      </c>
    </row>
    <row r="74" spans="1:15" ht="15.95" customHeight="1" x14ac:dyDescent="0.2">
      <c r="A74" s="43" t="s">
        <v>185</v>
      </c>
      <c r="B74" s="31" t="s">
        <v>157</v>
      </c>
      <c r="C74" s="30">
        <v>89500</v>
      </c>
      <c r="D74" s="30"/>
      <c r="E74" s="30"/>
      <c r="F74" s="46"/>
      <c r="G74" s="46"/>
      <c r="H74" s="30"/>
      <c r="I74" s="30"/>
      <c r="J74" s="46"/>
      <c r="K74" s="46"/>
      <c r="L74" s="30">
        <f t="shared" si="6"/>
        <v>89500</v>
      </c>
      <c r="M74" s="30"/>
      <c r="N74" s="30">
        <f t="shared" si="3"/>
        <v>89500</v>
      </c>
      <c r="O74" s="40">
        <f t="shared" si="7"/>
        <v>0</v>
      </c>
    </row>
    <row r="75" spans="1:15" ht="15.95" customHeight="1" x14ac:dyDescent="0.2">
      <c r="A75" s="43" t="s">
        <v>125</v>
      </c>
      <c r="B75" s="31" t="s">
        <v>186</v>
      </c>
      <c r="C75" s="30">
        <v>21000</v>
      </c>
      <c r="D75" s="30">
        <v>3500</v>
      </c>
      <c r="E75" s="30"/>
      <c r="F75" s="46"/>
      <c r="G75" s="46"/>
      <c r="H75" s="30"/>
      <c r="I75" s="30"/>
      <c r="J75" s="46"/>
      <c r="K75" s="46"/>
      <c r="L75" s="30">
        <f t="shared" si="6"/>
        <v>24500</v>
      </c>
      <c r="M75" s="30">
        <v>11965</v>
      </c>
      <c r="N75" s="30">
        <f t="shared" si="3"/>
        <v>12535</v>
      </c>
      <c r="O75" s="40">
        <f t="shared" si="7"/>
        <v>8.1566762459835962E-3</v>
      </c>
    </row>
    <row r="76" spans="1:15" ht="15.95" customHeight="1" x14ac:dyDescent="0.2">
      <c r="A76" s="43"/>
      <c r="B76" s="31"/>
      <c r="C76" s="30"/>
      <c r="D76" s="30"/>
      <c r="E76" s="30"/>
      <c r="F76" s="46"/>
      <c r="G76" s="46"/>
      <c r="H76" s="30"/>
      <c r="I76" s="30"/>
      <c r="J76" s="46"/>
      <c r="K76" s="46"/>
      <c r="L76" s="30"/>
      <c r="M76" s="30"/>
      <c r="N76" s="30"/>
      <c r="O76" s="40"/>
    </row>
    <row r="77" spans="1:15" ht="15.95" customHeight="1" x14ac:dyDescent="0.2">
      <c r="A77" s="43"/>
      <c r="B77" s="31"/>
      <c r="C77" s="30"/>
      <c r="D77" s="30"/>
      <c r="E77" s="30"/>
      <c r="F77" s="46"/>
      <c r="G77" s="46"/>
      <c r="H77" s="30"/>
      <c r="I77" s="30"/>
      <c r="J77" s="46"/>
      <c r="K77" s="46"/>
      <c r="L77" s="30"/>
      <c r="M77" s="30"/>
      <c r="N77" s="30"/>
      <c r="O77" s="40"/>
    </row>
    <row r="78" spans="1:15" ht="15.95" customHeight="1" x14ac:dyDescent="0.25">
      <c r="A78" s="41">
        <v>2</v>
      </c>
      <c r="B78" s="42" t="s">
        <v>62</v>
      </c>
      <c r="C78" s="28"/>
      <c r="D78" s="30"/>
      <c r="E78" s="30"/>
      <c r="F78" s="46"/>
      <c r="G78" s="46"/>
      <c r="H78" s="30"/>
      <c r="I78" s="30"/>
      <c r="J78" s="46"/>
      <c r="K78" s="46"/>
      <c r="L78" s="30"/>
      <c r="M78" s="30"/>
      <c r="N78" s="30"/>
      <c r="O78" s="40"/>
    </row>
    <row r="79" spans="1:15" ht="15.95" customHeight="1" x14ac:dyDescent="0.2">
      <c r="A79" s="43" t="s">
        <v>126</v>
      </c>
      <c r="B79" s="31" t="s">
        <v>63</v>
      </c>
      <c r="C79" s="30">
        <v>114414.1</v>
      </c>
      <c r="D79" s="30"/>
      <c r="E79" s="30"/>
      <c r="F79" s="46"/>
      <c r="G79" s="46"/>
      <c r="H79" s="30"/>
      <c r="I79" s="30"/>
      <c r="J79" s="46"/>
      <c r="K79" s="46"/>
      <c r="L79" s="30">
        <f t="shared" ref="L79:L115" si="8">C79+D79-E79+F79-G79+H79-I79+J79-K79</f>
        <v>114414.1</v>
      </c>
      <c r="M79" s="30">
        <v>18859.2</v>
      </c>
      <c r="N79" s="30">
        <f t="shared" si="3"/>
        <v>95554.900000000009</v>
      </c>
      <c r="O79" s="40">
        <f t="shared" ref="O79:O115" si="9">M79/$M$134</f>
        <v>1.2856530602444951E-2</v>
      </c>
    </row>
    <row r="80" spans="1:15" ht="15.95" hidden="1" customHeight="1" x14ac:dyDescent="0.2">
      <c r="A80" s="43">
        <v>214</v>
      </c>
      <c r="B80" s="31" t="s">
        <v>198</v>
      </c>
      <c r="C80" s="30"/>
      <c r="D80" s="30"/>
      <c r="E80" s="30"/>
      <c r="F80" s="46"/>
      <c r="G80" s="46"/>
      <c r="H80" s="30"/>
      <c r="I80" s="30"/>
      <c r="J80" s="46"/>
      <c r="K80" s="46"/>
      <c r="L80" s="30">
        <f t="shared" si="8"/>
        <v>0</v>
      </c>
      <c r="M80" s="30">
        <v>0</v>
      </c>
      <c r="N80" s="30">
        <f t="shared" si="3"/>
        <v>0</v>
      </c>
      <c r="O80" s="40">
        <f t="shared" si="9"/>
        <v>0</v>
      </c>
    </row>
    <row r="81" spans="1:15" ht="15.95" customHeight="1" x14ac:dyDescent="0.2">
      <c r="A81" s="43">
        <v>223</v>
      </c>
      <c r="B81" s="31" t="s">
        <v>199</v>
      </c>
      <c r="C81" s="30">
        <v>0</v>
      </c>
      <c r="D81" s="30">
        <v>1500</v>
      </c>
      <c r="E81" s="30"/>
      <c r="F81" s="46"/>
      <c r="G81" s="46"/>
      <c r="H81" s="30"/>
      <c r="I81" s="30"/>
      <c r="J81" s="46"/>
      <c r="K81" s="46"/>
      <c r="L81" s="30">
        <f t="shared" si="8"/>
        <v>1500</v>
      </c>
      <c r="M81" s="30">
        <v>100</v>
      </c>
      <c r="N81" s="30">
        <f t="shared" si="3"/>
        <v>1400</v>
      </c>
      <c r="O81" s="40">
        <f t="shared" si="9"/>
        <v>6.8171134525562858E-5</v>
      </c>
    </row>
    <row r="82" spans="1:15" ht="15.95" hidden="1" customHeight="1" x14ac:dyDescent="0.2">
      <c r="A82" s="43">
        <v>229</v>
      </c>
      <c r="B82" s="31" t="s">
        <v>200</v>
      </c>
      <c r="C82" s="30"/>
      <c r="D82" s="30"/>
      <c r="E82" s="30"/>
      <c r="F82" s="46"/>
      <c r="G82" s="46"/>
      <c r="H82" s="30"/>
      <c r="I82" s="30"/>
      <c r="J82" s="46"/>
      <c r="K82" s="46"/>
      <c r="L82" s="30">
        <f t="shared" si="8"/>
        <v>0</v>
      </c>
      <c r="M82" s="30">
        <v>0</v>
      </c>
      <c r="N82" s="30">
        <f t="shared" si="3"/>
        <v>0</v>
      </c>
      <c r="O82" s="40">
        <f t="shared" si="9"/>
        <v>0</v>
      </c>
    </row>
    <row r="83" spans="1:15" ht="15.95" customHeight="1" x14ac:dyDescent="0.2">
      <c r="A83" s="43" t="s">
        <v>127</v>
      </c>
      <c r="B83" s="31" t="s">
        <v>64</v>
      </c>
      <c r="C83" s="30">
        <v>2750</v>
      </c>
      <c r="D83" s="30"/>
      <c r="E83" s="30"/>
      <c r="F83" s="46"/>
      <c r="G83" s="46"/>
      <c r="H83" s="30"/>
      <c r="I83" s="30"/>
      <c r="J83" s="46"/>
      <c r="K83" s="46"/>
      <c r="L83" s="30">
        <f t="shared" si="8"/>
        <v>2750</v>
      </c>
      <c r="M83" s="30">
        <v>331.48</v>
      </c>
      <c r="N83" s="30">
        <f t="shared" si="3"/>
        <v>2418.52</v>
      </c>
      <c r="O83" s="40">
        <f t="shared" si="9"/>
        <v>2.2597367672533579E-4</v>
      </c>
    </row>
    <row r="84" spans="1:15" ht="15.95" customHeight="1" x14ac:dyDescent="0.2">
      <c r="A84" s="43" t="s">
        <v>128</v>
      </c>
      <c r="B84" s="31" t="s">
        <v>65</v>
      </c>
      <c r="C84" s="30">
        <v>16800</v>
      </c>
      <c r="D84" s="30"/>
      <c r="E84" s="30"/>
      <c r="F84" s="46"/>
      <c r="G84" s="46"/>
      <c r="H84" s="30"/>
      <c r="I84" s="30"/>
      <c r="J84" s="46"/>
      <c r="K84" s="46"/>
      <c r="L84" s="30">
        <f t="shared" si="8"/>
        <v>16800</v>
      </c>
      <c r="M84" s="30"/>
      <c r="N84" s="30">
        <f t="shared" si="3"/>
        <v>16800</v>
      </c>
      <c r="O84" s="40">
        <f t="shared" si="9"/>
        <v>0</v>
      </c>
    </row>
    <row r="85" spans="1:15" ht="15.95" customHeight="1" x14ac:dyDescent="0.2">
      <c r="A85" s="43" t="s">
        <v>129</v>
      </c>
      <c r="B85" s="31" t="s">
        <v>66</v>
      </c>
      <c r="C85" s="30">
        <v>5250</v>
      </c>
      <c r="D85" s="30"/>
      <c r="E85" s="30"/>
      <c r="F85" s="46"/>
      <c r="G85" s="46"/>
      <c r="H85" s="30"/>
      <c r="I85" s="30"/>
      <c r="J85" s="46"/>
      <c r="K85" s="46"/>
      <c r="L85" s="30">
        <f t="shared" si="8"/>
        <v>5250</v>
      </c>
      <c r="M85" s="30">
        <v>1072.5999999999999</v>
      </c>
      <c r="N85" s="30">
        <f t="shared" si="3"/>
        <v>4177.3999999999996</v>
      </c>
      <c r="O85" s="40">
        <f t="shared" si="9"/>
        <v>7.3120358892118725E-4</v>
      </c>
    </row>
    <row r="86" spans="1:15" ht="15.95" customHeight="1" x14ac:dyDescent="0.2">
      <c r="A86" s="43" t="s">
        <v>130</v>
      </c>
      <c r="B86" s="31" t="s">
        <v>67</v>
      </c>
      <c r="C86" s="30">
        <v>1500</v>
      </c>
      <c r="D86" s="30"/>
      <c r="E86" s="30"/>
      <c r="F86" s="46"/>
      <c r="G86" s="46"/>
      <c r="H86" s="30"/>
      <c r="I86" s="30"/>
      <c r="J86" s="46"/>
      <c r="K86" s="46"/>
      <c r="L86" s="30">
        <f t="shared" si="8"/>
        <v>1500</v>
      </c>
      <c r="M86" s="30">
        <v>691.25</v>
      </c>
      <c r="N86" s="30">
        <f t="shared" si="3"/>
        <v>808.75</v>
      </c>
      <c r="O86" s="40">
        <f t="shared" si="9"/>
        <v>4.7123296740795331E-4</v>
      </c>
    </row>
    <row r="87" spans="1:15" ht="15.95" customHeight="1" x14ac:dyDescent="0.2">
      <c r="A87" s="43" t="s">
        <v>131</v>
      </c>
      <c r="B87" s="31" t="s">
        <v>201</v>
      </c>
      <c r="C87" s="30">
        <v>3050</v>
      </c>
      <c r="D87" s="30"/>
      <c r="E87" s="30"/>
      <c r="F87" s="46"/>
      <c r="G87" s="46"/>
      <c r="H87" s="30"/>
      <c r="I87" s="30"/>
      <c r="J87" s="46"/>
      <c r="K87" s="46"/>
      <c r="L87" s="30">
        <f t="shared" si="8"/>
        <v>3050</v>
      </c>
      <c r="M87" s="30">
        <v>798.7</v>
      </c>
      <c r="N87" s="30">
        <f t="shared" si="3"/>
        <v>2251.3000000000002</v>
      </c>
      <c r="O87" s="40">
        <f t="shared" si="9"/>
        <v>5.4448285145567061E-4</v>
      </c>
    </row>
    <row r="88" spans="1:15" ht="15.95" customHeight="1" x14ac:dyDescent="0.2">
      <c r="A88" s="43" t="s">
        <v>132</v>
      </c>
      <c r="B88" s="31" t="s">
        <v>68</v>
      </c>
      <c r="C88" s="30">
        <v>875</v>
      </c>
      <c r="D88" s="30"/>
      <c r="E88" s="30"/>
      <c r="F88" s="46"/>
      <c r="G88" s="46"/>
      <c r="H88" s="30"/>
      <c r="I88" s="30"/>
      <c r="J88" s="46"/>
      <c r="K88" s="46"/>
      <c r="L88" s="30">
        <f t="shared" si="8"/>
        <v>875</v>
      </c>
      <c r="M88" s="30">
        <v>10</v>
      </c>
      <c r="N88" s="30">
        <f t="shared" si="3"/>
        <v>865</v>
      </c>
      <c r="O88" s="40">
        <f t="shared" si="9"/>
        <v>6.8171134525562859E-6</v>
      </c>
    </row>
    <row r="89" spans="1:15" ht="15.95" customHeight="1" x14ac:dyDescent="0.2">
      <c r="A89" s="43" t="s">
        <v>133</v>
      </c>
      <c r="B89" s="31" t="s">
        <v>202</v>
      </c>
      <c r="C89" s="30">
        <v>5500</v>
      </c>
      <c r="D89" s="30"/>
      <c r="E89" s="30"/>
      <c r="F89" s="46"/>
      <c r="G89" s="46"/>
      <c r="H89" s="30"/>
      <c r="I89" s="30"/>
      <c r="J89" s="46"/>
      <c r="K89" s="46"/>
      <c r="L89" s="30">
        <f t="shared" si="8"/>
        <v>5500</v>
      </c>
      <c r="M89" s="30">
        <v>0</v>
      </c>
      <c r="N89" s="30">
        <f t="shared" si="3"/>
        <v>5500</v>
      </c>
      <c r="O89" s="40">
        <f t="shared" si="9"/>
        <v>0</v>
      </c>
    </row>
    <row r="90" spans="1:15" ht="15.95" customHeight="1" x14ac:dyDescent="0.2">
      <c r="A90" s="43" t="s">
        <v>134</v>
      </c>
      <c r="B90" s="31" t="s">
        <v>69</v>
      </c>
      <c r="C90" s="30">
        <v>2700</v>
      </c>
      <c r="D90" s="30"/>
      <c r="E90" s="30"/>
      <c r="F90" s="46"/>
      <c r="G90" s="46"/>
      <c r="H90" s="30"/>
      <c r="I90" s="30"/>
      <c r="J90" s="46"/>
      <c r="K90" s="46"/>
      <c r="L90" s="30">
        <f t="shared" si="8"/>
        <v>2700</v>
      </c>
      <c r="M90" s="30">
        <v>290</v>
      </c>
      <c r="N90" s="30">
        <f t="shared" si="3"/>
        <v>2410</v>
      </c>
      <c r="O90" s="40">
        <f t="shared" si="9"/>
        <v>1.9769629012413229E-4</v>
      </c>
    </row>
    <row r="91" spans="1:15" ht="15.95" customHeight="1" x14ac:dyDescent="0.2">
      <c r="A91" s="43" t="s">
        <v>203</v>
      </c>
      <c r="B91" s="31" t="s">
        <v>204</v>
      </c>
      <c r="C91" s="30">
        <v>2800</v>
      </c>
      <c r="D91" s="30"/>
      <c r="E91" s="30"/>
      <c r="F91" s="46"/>
      <c r="G91" s="46"/>
      <c r="H91" s="30"/>
      <c r="I91" s="30"/>
      <c r="J91" s="46"/>
      <c r="K91" s="46"/>
      <c r="L91" s="30">
        <f t="shared" si="8"/>
        <v>2800</v>
      </c>
      <c r="M91" s="30">
        <v>183</v>
      </c>
      <c r="N91" s="30">
        <f t="shared" si="3"/>
        <v>2617</v>
      </c>
      <c r="O91" s="40">
        <f t="shared" si="9"/>
        <v>1.2475317618178004E-4</v>
      </c>
    </row>
    <row r="92" spans="1:15" ht="15.95" customHeight="1" x14ac:dyDescent="0.2">
      <c r="A92" s="43" t="s">
        <v>135</v>
      </c>
      <c r="B92" s="31" t="s">
        <v>70</v>
      </c>
      <c r="C92" s="30">
        <v>8500</v>
      </c>
      <c r="D92" s="30"/>
      <c r="E92" s="30"/>
      <c r="F92" s="46"/>
      <c r="G92" s="46"/>
      <c r="H92" s="30"/>
      <c r="I92" s="30"/>
      <c r="J92" s="46"/>
      <c r="K92" s="46"/>
      <c r="L92" s="30">
        <f t="shared" si="8"/>
        <v>8500</v>
      </c>
      <c r="M92" s="30">
        <v>2848.92</v>
      </c>
      <c r="N92" s="30">
        <f t="shared" si="3"/>
        <v>5651.08</v>
      </c>
      <c r="O92" s="40">
        <f t="shared" si="9"/>
        <v>1.9421410857256656E-3</v>
      </c>
    </row>
    <row r="93" spans="1:15" ht="15.95" customHeight="1" x14ac:dyDescent="0.2">
      <c r="A93" s="43" t="s">
        <v>136</v>
      </c>
      <c r="B93" s="31" t="s">
        <v>205</v>
      </c>
      <c r="C93" s="30">
        <v>2000</v>
      </c>
      <c r="D93" s="30"/>
      <c r="E93" s="30"/>
      <c r="F93" s="46"/>
      <c r="G93" s="46"/>
      <c r="H93" s="30"/>
      <c r="I93" s="30"/>
      <c r="J93" s="46"/>
      <c r="K93" s="46"/>
      <c r="L93" s="30">
        <f t="shared" si="8"/>
        <v>2000</v>
      </c>
      <c r="M93" s="30">
        <v>1619.11</v>
      </c>
      <c r="N93" s="30">
        <f t="shared" si="3"/>
        <v>380.8900000000001</v>
      </c>
      <c r="O93" s="40">
        <f t="shared" si="9"/>
        <v>1.1037656562168409E-3</v>
      </c>
    </row>
    <row r="94" spans="1:15" ht="15.95" customHeight="1" x14ac:dyDescent="0.2">
      <c r="A94" s="43" t="s">
        <v>137</v>
      </c>
      <c r="B94" s="31" t="s">
        <v>71</v>
      </c>
      <c r="C94" s="30">
        <v>17500</v>
      </c>
      <c r="D94" s="30"/>
      <c r="E94" s="30"/>
      <c r="F94" s="46"/>
      <c r="G94" s="46"/>
      <c r="H94" s="30"/>
      <c r="I94" s="30"/>
      <c r="J94" s="46"/>
      <c r="K94" s="46"/>
      <c r="L94" s="30">
        <f t="shared" si="8"/>
        <v>17500</v>
      </c>
      <c r="M94" s="30">
        <v>2790.38</v>
      </c>
      <c r="N94" s="30">
        <f t="shared" si="3"/>
        <v>14709.619999999999</v>
      </c>
      <c r="O94" s="40">
        <f t="shared" si="9"/>
        <v>1.9022337035744011E-3</v>
      </c>
    </row>
    <row r="95" spans="1:15" ht="15.95" customHeight="1" x14ac:dyDescent="0.2">
      <c r="A95" s="43" t="s">
        <v>138</v>
      </c>
      <c r="B95" s="31" t="s">
        <v>206</v>
      </c>
      <c r="C95" s="30">
        <v>3000</v>
      </c>
      <c r="D95" s="30"/>
      <c r="E95" s="30"/>
      <c r="F95" s="46"/>
      <c r="G95" s="46"/>
      <c r="H95" s="30"/>
      <c r="I95" s="30"/>
      <c r="J95" s="46"/>
      <c r="K95" s="46"/>
      <c r="L95" s="30">
        <f t="shared" si="8"/>
        <v>3000</v>
      </c>
      <c r="M95" s="30">
        <v>725.9</v>
      </c>
      <c r="N95" s="30">
        <f t="shared" si="3"/>
        <v>2274.1</v>
      </c>
      <c r="O95" s="40">
        <f t="shared" si="9"/>
        <v>4.9485426552106084E-4</v>
      </c>
    </row>
    <row r="96" spans="1:15" ht="15.95" customHeight="1" x14ac:dyDescent="0.2">
      <c r="A96" s="43" t="s">
        <v>139</v>
      </c>
      <c r="B96" s="31" t="s">
        <v>207</v>
      </c>
      <c r="C96" s="30">
        <v>1500</v>
      </c>
      <c r="D96" s="30"/>
      <c r="E96" s="30"/>
      <c r="F96" s="46"/>
      <c r="G96" s="46"/>
      <c r="H96" s="30"/>
      <c r="I96" s="30"/>
      <c r="J96" s="46"/>
      <c r="K96" s="46"/>
      <c r="L96" s="30">
        <f t="shared" si="8"/>
        <v>1500</v>
      </c>
      <c r="M96" s="30">
        <v>169</v>
      </c>
      <c r="N96" s="30">
        <f t="shared" ref="N96:N133" si="10">L96-M96</f>
        <v>1331</v>
      </c>
      <c r="O96" s="40">
        <f t="shared" si="9"/>
        <v>1.1520921734820123E-4</v>
      </c>
    </row>
    <row r="97" spans="1:15" ht="15.95" customHeight="1" x14ac:dyDescent="0.2">
      <c r="A97" s="43" t="s">
        <v>140</v>
      </c>
      <c r="B97" s="31" t="s">
        <v>72</v>
      </c>
      <c r="C97" s="30">
        <v>210345</v>
      </c>
      <c r="D97" s="30"/>
      <c r="E97" s="30"/>
      <c r="F97" s="46"/>
      <c r="G97" s="46"/>
      <c r="H97" s="30"/>
      <c r="I97" s="30"/>
      <c r="J97" s="46"/>
      <c r="K97" s="46"/>
      <c r="L97" s="30">
        <f t="shared" si="8"/>
        <v>210345</v>
      </c>
      <c r="M97" s="30">
        <v>0</v>
      </c>
      <c r="N97" s="30">
        <f t="shared" si="10"/>
        <v>210345</v>
      </c>
      <c r="O97" s="40">
        <f t="shared" si="9"/>
        <v>0</v>
      </c>
    </row>
    <row r="98" spans="1:15" ht="15.95" hidden="1" customHeight="1" x14ac:dyDescent="0.2">
      <c r="A98" s="43">
        <v>272</v>
      </c>
      <c r="B98" s="31" t="s">
        <v>208</v>
      </c>
      <c r="C98" s="30"/>
      <c r="D98" s="30"/>
      <c r="E98" s="30"/>
      <c r="F98" s="46"/>
      <c r="G98" s="46"/>
      <c r="H98" s="30"/>
      <c r="I98" s="30"/>
      <c r="J98" s="46"/>
      <c r="K98" s="46"/>
      <c r="L98" s="30">
        <f t="shared" si="8"/>
        <v>0</v>
      </c>
      <c r="M98" s="30">
        <v>0</v>
      </c>
      <c r="N98" s="30">
        <f t="shared" si="10"/>
        <v>0</v>
      </c>
      <c r="O98" s="40">
        <f t="shared" si="9"/>
        <v>0</v>
      </c>
    </row>
    <row r="99" spans="1:15" ht="15.95" hidden="1" customHeight="1" x14ac:dyDescent="0.2">
      <c r="A99" s="43" t="s">
        <v>141</v>
      </c>
      <c r="B99" s="31" t="s">
        <v>209</v>
      </c>
      <c r="C99" s="30"/>
      <c r="D99" s="30"/>
      <c r="E99" s="30"/>
      <c r="F99" s="46"/>
      <c r="G99" s="46"/>
      <c r="H99" s="30"/>
      <c r="I99" s="30"/>
      <c r="J99" s="46"/>
      <c r="K99" s="46"/>
      <c r="L99" s="30">
        <f t="shared" si="8"/>
        <v>0</v>
      </c>
      <c r="M99" s="30">
        <v>0</v>
      </c>
      <c r="N99" s="30">
        <f t="shared" si="10"/>
        <v>0</v>
      </c>
      <c r="O99" s="40">
        <f t="shared" si="9"/>
        <v>0</v>
      </c>
    </row>
    <row r="100" spans="1:15" ht="15.95" customHeight="1" x14ac:dyDescent="0.2">
      <c r="A100" s="43">
        <v>274</v>
      </c>
      <c r="B100" s="31" t="s">
        <v>73</v>
      </c>
      <c r="C100" s="30">
        <v>1500</v>
      </c>
      <c r="D100" s="30"/>
      <c r="E100" s="30"/>
      <c r="F100" s="46"/>
      <c r="G100" s="46"/>
      <c r="H100" s="30"/>
      <c r="I100" s="30"/>
      <c r="J100" s="46"/>
      <c r="K100" s="46"/>
      <c r="L100" s="30">
        <f t="shared" si="8"/>
        <v>1500</v>
      </c>
      <c r="M100" s="30">
        <v>237</v>
      </c>
      <c r="N100" s="30">
        <f t="shared" si="10"/>
        <v>1263</v>
      </c>
      <c r="O100" s="40">
        <f t="shared" si="9"/>
        <v>1.6156558882558398E-4</v>
      </c>
    </row>
    <row r="101" spans="1:15" ht="15.95" hidden="1" customHeight="1" x14ac:dyDescent="0.2">
      <c r="A101" s="43">
        <v>275</v>
      </c>
      <c r="B101" s="31" t="s">
        <v>210</v>
      </c>
      <c r="C101" s="30"/>
      <c r="D101" s="30"/>
      <c r="E101" s="30"/>
      <c r="F101" s="46"/>
      <c r="G101" s="46"/>
      <c r="H101" s="30"/>
      <c r="I101" s="30"/>
      <c r="J101" s="46"/>
      <c r="K101" s="46"/>
      <c r="L101" s="30">
        <f t="shared" si="8"/>
        <v>0</v>
      </c>
      <c r="M101" s="30">
        <v>0</v>
      </c>
      <c r="N101" s="30">
        <f t="shared" si="10"/>
        <v>0</v>
      </c>
      <c r="O101" s="40">
        <f t="shared" si="9"/>
        <v>0</v>
      </c>
    </row>
    <row r="102" spans="1:15" ht="15.95" customHeight="1" x14ac:dyDescent="0.2">
      <c r="A102" s="43">
        <v>279</v>
      </c>
      <c r="B102" s="31" t="s">
        <v>211</v>
      </c>
      <c r="C102" s="30">
        <v>750</v>
      </c>
      <c r="D102" s="30"/>
      <c r="E102" s="30"/>
      <c r="F102" s="46"/>
      <c r="G102" s="46"/>
      <c r="H102" s="30"/>
      <c r="I102" s="30"/>
      <c r="J102" s="46"/>
      <c r="K102" s="46"/>
      <c r="L102" s="30">
        <f t="shared" si="8"/>
        <v>750</v>
      </c>
      <c r="M102" s="30">
        <v>0</v>
      </c>
      <c r="N102" s="30">
        <f t="shared" si="10"/>
        <v>750</v>
      </c>
      <c r="O102" s="40">
        <f t="shared" si="9"/>
        <v>0</v>
      </c>
    </row>
    <row r="103" spans="1:15" ht="15.95" hidden="1" customHeight="1" x14ac:dyDescent="0.2">
      <c r="A103" s="43">
        <v>281</v>
      </c>
      <c r="B103" s="31" t="s">
        <v>212</v>
      </c>
      <c r="C103" s="30"/>
      <c r="D103" s="30"/>
      <c r="E103" s="30"/>
      <c r="F103" s="46"/>
      <c r="G103" s="46"/>
      <c r="H103" s="30"/>
      <c r="I103" s="30"/>
      <c r="J103" s="46"/>
      <c r="K103" s="46"/>
      <c r="L103" s="30">
        <f t="shared" si="8"/>
        <v>0</v>
      </c>
      <c r="M103" s="30">
        <v>0</v>
      </c>
      <c r="N103" s="30">
        <f t="shared" si="10"/>
        <v>0</v>
      </c>
      <c r="O103" s="40">
        <f t="shared" si="9"/>
        <v>0</v>
      </c>
    </row>
    <row r="104" spans="1:15" ht="15.95" customHeight="1" x14ac:dyDescent="0.2">
      <c r="A104" s="43" t="s">
        <v>142</v>
      </c>
      <c r="B104" s="31" t="s">
        <v>213</v>
      </c>
      <c r="C104" s="30">
        <v>1800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8"/>
        <v>1800</v>
      </c>
      <c r="M104" s="30">
        <v>216.9</v>
      </c>
      <c r="N104" s="30">
        <f t="shared" si="10"/>
        <v>1583.1</v>
      </c>
      <c r="O104" s="40">
        <f t="shared" si="9"/>
        <v>1.4786319078594586E-4</v>
      </c>
    </row>
    <row r="105" spans="1:15" ht="15.95" customHeight="1" x14ac:dyDescent="0.2">
      <c r="A105" s="43" t="s">
        <v>143</v>
      </c>
      <c r="B105" s="31" t="s">
        <v>74</v>
      </c>
      <c r="C105" s="30">
        <v>8800</v>
      </c>
      <c r="D105" s="30">
        <v>15000</v>
      </c>
      <c r="E105" s="30"/>
      <c r="F105" s="46"/>
      <c r="G105" s="46"/>
      <c r="H105" s="30"/>
      <c r="I105" s="30"/>
      <c r="J105" s="46"/>
      <c r="K105" s="46"/>
      <c r="L105" s="30">
        <f t="shared" si="8"/>
        <v>23800</v>
      </c>
      <c r="M105" s="30">
        <v>2189.8200000000002</v>
      </c>
      <c r="N105" s="30">
        <f t="shared" si="10"/>
        <v>21610.18</v>
      </c>
      <c r="O105" s="40">
        <f t="shared" si="9"/>
        <v>1.4928251380676807E-3</v>
      </c>
    </row>
    <row r="106" spans="1:15" ht="15.95" customHeight="1" x14ac:dyDescent="0.2">
      <c r="A106" s="43" t="s">
        <v>144</v>
      </c>
      <c r="B106" s="31" t="s">
        <v>75</v>
      </c>
      <c r="C106" s="30">
        <v>800821.67999999993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8"/>
        <v>800821.67999999993</v>
      </c>
      <c r="M106" s="30">
        <v>0</v>
      </c>
      <c r="N106" s="30">
        <f t="shared" si="10"/>
        <v>800821.67999999993</v>
      </c>
      <c r="O106" s="40">
        <f t="shared" si="9"/>
        <v>0</v>
      </c>
    </row>
    <row r="107" spans="1:15" ht="15.95" customHeight="1" x14ac:dyDescent="0.2">
      <c r="A107" s="43">
        <v>286</v>
      </c>
      <c r="B107" s="31" t="s">
        <v>214</v>
      </c>
      <c r="C107" s="30">
        <v>1500</v>
      </c>
      <c r="D107" s="30"/>
      <c r="E107" s="30"/>
      <c r="F107" s="46"/>
      <c r="G107" s="46"/>
      <c r="H107" s="30"/>
      <c r="I107" s="30"/>
      <c r="J107" s="46"/>
      <c r="K107" s="46"/>
      <c r="L107" s="30">
        <f t="shared" si="8"/>
        <v>1500</v>
      </c>
      <c r="M107" s="30">
        <v>132.80000000000001</v>
      </c>
      <c r="N107" s="30">
        <f t="shared" si="10"/>
        <v>1367.2</v>
      </c>
      <c r="O107" s="40">
        <f t="shared" si="9"/>
        <v>9.0531266649947488E-5</v>
      </c>
    </row>
    <row r="108" spans="1:15" ht="15.95" hidden="1" customHeight="1" x14ac:dyDescent="0.2">
      <c r="A108" s="43">
        <v>289</v>
      </c>
      <c r="B108" s="31" t="s">
        <v>215</v>
      </c>
      <c r="C108" s="30"/>
      <c r="D108" s="30"/>
      <c r="E108" s="30"/>
      <c r="F108" s="46"/>
      <c r="G108" s="46"/>
      <c r="H108" s="30"/>
      <c r="I108" s="30"/>
      <c r="J108" s="46"/>
      <c r="K108" s="46"/>
      <c r="L108" s="30">
        <f t="shared" si="8"/>
        <v>0</v>
      </c>
      <c r="M108" s="30">
        <v>0</v>
      </c>
      <c r="N108" s="30">
        <f t="shared" si="10"/>
        <v>0</v>
      </c>
      <c r="O108" s="40">
        <f t="shared" si="9"/>
        <v>0</v>
      </c>
    </row>
    <row r="109" spans="1:15" ht="15.95" customHeight="1" x14ac:dyDescent="0.2">
      <c r="A109" s="43" t="s">
        <v>145</v>
      </c>
      <c r="B109" s="31" t="s">
        <v>76</v>
      </c>
      <c r="C109" s="30">
        <v>6600</v>
      </c>
      <c r="D109" s="30"/>
      <c r="E109" s="30"/>
      <c r="F109" s="46"/>
      <c r="G109" s="46"/>
      <c r="H109" s="30"/>
      <c r="I109" s="30"/>
      <c r="J109" s="46"/>
      <c r="K109" s="46"/>
      <c r="L109" s="30">
        <f t="shared" si="8"/>
        <v>6600</v>
      </c>
      <c r="M109" s="30">
        <v>2695.06</v>
      </c>
      <c r="N109" s="30">
        <f t="shared" si="10"/>
        <v>3904.94</v>
      </c>
      <c r="O109" s="40">
        <f t="shared" si="9"/>
        <v>1.8372529781446345E-3</v>
      </c>
    </row>
    <row r="110" spans="1:15" ht="15.95" customHeight="1" x14ac:dyDescent="0.2">
      <c r="A110" s="43" t="s">
        <v>146</v>
      </c>
      <c r="B110" s="31" t="s">
        <v>216</v>
      </c>
      <c r="C110" s="30">
        <v>2000</v>
      </c>
      <c r="D110" s="30"/>
      <c r="E110" s="30"/>
      <c r="F110" s="46"/>
      <c r="G110" s="46"/>
      <c r="H110" s="30"/>
      <c r="I110" s="30"/>
      <c r="J110" s="46"/>
      <c r="K110" s="46"/>
      <c r="L110" s="30">
        <f t="shared" si="8"/>
        <v>2000</v>
      </c>
      <c r="M110" s="30">
        <v>1165.3</v>
      </c>
      <c r="N110" s="30">
        <f t="shared" si="10"/>
        <v>834.7</v>
      </c>
      <c r="O110" s="40">
        <f t="shared" si="9"/>
        <v>7.9439823062638396E-4</v>
      </c>
    </row>
    <row r="111" spans="1:15" ht="15.95" customHeight="1" x14ac:dyDescent="0.2">
      <c r="A111" s="43" t="s">
        <v>147</v>
      </c>
      <c r="B111" s="31" t="s">
        <v>77</v>
      </c>
      <c r="C111" s="30">
        <v>115251.9</v>
      </c>
      <c r="D111" s="30">
        <f>4500+21000+10000</f>
        <v>35500</v>
      </c>
      <c r="E111" s="30"/>
      <c r="F111" s="46"/>
      <c r="G111" s="46"/>
      <c r="H111" s="30"/>
      <c r="I111" s="30"/>
      <c r="J111" s="46"/>
      <c r="K111" s="46"/>
      <c r="L111" s="30">
        <f t="shared" si="8"/>
        <v>150751.9</v>
      </c>
      <c r="M111" s="30">
        <v>20760.990000000002</v>
      </c>
      <c r="N111" s="30">
        <f t="shared" si="10"/>
        <v>129990.90999999999</v>
      </c>
      <c r="O111" s="40">
        <f t="shared" si="9"/>
        <v>1.4153002421738654E-2</v>
      </c>
    </row>
    <row r="112" spans="1:15" ht="15.95" customHeight="1" x14ac:dyDescent="0.2">
      <c r="A112" s="43" t="s">
        <v>148</v>
      </c>
      <c r="B112" s="31" t="s">
        <v>78</v>
      </c>
      <c r="C112" s="30">
        <v>2000</v>
      </c>
      <c r="D112" s="30"/>
      <c r="E112" s="30"/>
      <c r="F112" s="46"/>
      <c r="G112" s="46"/>
      <c r="H112" s="30"/>
      <c r="I112" s="30"/>
      <c r="J112" s="46"/>
      <c r="K112" s="46"/>
      <c r="L112" s="30">
        <f t="shared" si="8"/>
        <v>2000</v>
      </c>
      <c r="M112" s="30">
        <v>0</v>
      </c>
      <c r="N112" s="30">
        <f t="shared" si="10"/>
        <v>2000</v>
      </c>
      <c r="O112" s="40">
        <f t="shared" si="9"/>
        <v>0</v>
      </c>
    </row>
    <row r="113" spans="1:15" ht="15.95" customHeight="1" x14ac:dyDescent="0.2">
      <c r="A113" s="43" t="s">
        <v>149</v>
      </c>
      <c r="B113" s="31" t="s">
        <v>217</v>
      </c>
      <c r="C113" s="30">
        <v>9500</v>
      </c>
      <c r="D113" s="30">
        <v>20000</v>
      </c>
      <c r="E113" s="30"/>
      <c r="F113" s="46"/>
      <c r="G113" s="46"/>
      <c r="H113" s="30"/>
      <c r="I113" s="30"/>
      <c r="J113" s="46"/>
      <c r="K113" s="46"/>
      <c r="L113" s="30">
        <f t="shared" si="8"/>
        <v>29500</v>
      </c>
      <c r="M113" s="30">
        <v>55.95</v>
      </c>
      <c r="N113" s="30">
        <f t="shared" si="10"/>
        <v>29444.05</v>
      </c>
      <c r="O113" s="40">
        <f t="shared" si="9"/>
        <v>3.8141749767052425E-5</v>
      </c>
    </row>
    <row r="114" spans="1:15" ht="15.95" customHeight="1" x14ac:dyDescent="0.2">
      <c r="A114" s="43" t="s">
        <v>150</v>
      </c>
      <c r="B114" s="31" t="s">
        <v>79</v>
      </c>
      <c r="C114" s="30">
        <v>101000</v>
      </c>
      <c r="D114" s="30"/>
      <c r="E114" s="30"/>
      <c r="F114" s="46"/>
      <c r="G114" s="46"/>
      <c r="H114" s="30"/>
      <c r="I114" s="30"/>
      <c r="J114" s="46"/>
      <c r="K114" s="46"/>
      <c r="L114" s="30">
        <f t="shared" si="8"/>
        <v>101000</v>
      </c>
      <c r="M114" s="30">
        <v>5316.97</v>
      </c>
      <c r="N114" s="30">
        <f t="shared" si="10"/>
        <v>95683.03</v>
      </c>
      <c r="O114" s="40">
        <f t="shared" si="9"/>
        <v>3.62463877138382E-3</v>
      </c>
    </row>
    <row r="115" spans="1:15" ht="15.95" customHeight="1" x14ac:dyDescent="0.2">
      <c r="A115" s="43" t="s">
        <v>151</v>
      </c>
      <c r="B115" s="31" t="s">
        <v>80</v>
      </c>
      <c r="C115" s="30">
        <v>11500</v>
      </c>
      <c r="D115" s="30"/>
      <c r="E115" s="30"/>
      <c r="F115" s="46"/>
      <c r="G115" s="46"/>
      <c r="H115" s="30"/>
      <c r="I115" s="30"/>
      <c r="J115" s="46"/>
      <c r="K115" s="46"/>
      <c r="L115" s="30">
        <f t="shared" si="8"/>
        <v>11500</v>
      </c>
      <c r="M115" s="30">
        <v>3931.13</v>
      </c>
      <c r="N115" s="30">
        <f t="shared" si="10"/>
        <v>7568.87</v>
      </c>
      <c r="O115" s="40">
        <f t="shared" si="9"/>
        <v>2.6798959206747594E-3</v>
      </c>
    </row>
    <row r="116" spans="1:15" ht="15.95" customHeight="1" x14ac:dyDescent="0.2">
      <c r="A116" s="43"/>
      <c r="B116" s="31"/>
      <c r="C116" s="30"/>
      <c r="D116" s="30"/>
      <c r="E116" s="30"/>
      <c r="F116" s="46"/>
      <c r="G116" s="46"/>
      <c r="H116" s="30"/>
      <c r="I116" s="30"/>
      <c r="J116" s="46"/>
      <c r="K116" s="46"/>
      <c r="L116" s="30"/>
      <c r="M116" s="30"/>
      <c r="N116" s="30"/>
      <c r="O116" s="40"/>
    </row>
    <row r="117" spans="1:15" ht="15.95" customHeight="1" x14ac:dyDescent="0.2">
      <c r="A117" s="43"/>
      <c r="B117" s="31"/>
      <c r="C117" s="30"/>
      <c r="D117" s="30"/>
      <c r="E117" s="30"/>
      <c r="F117" s="46"/>
      <c r="G117" s="46"/>
      <c r="H117" s="30"/>
      <c r="I117" s="30"/>
      <c r="J117" s="46"/>
      <c r="K117" s="46"/>
      <c r="L117" s="30"/>
      <c r="M117" s="30"/>
      <c r="N117" s="30"/>
      <c r="O117" s="40"/>
    </row>
    <row r="118" spans="1:15" ht="15.95" customHeight="1" x14ac:dyDescent="0.2">
      <c r="A118" s="43"/>
      <c r="B118" s="31"/>
      <c r="C118" s="30"/>
      <c r="D118" s="30"/>
      <c r="E118" s="30"/>
      <c r="F118" s="46"/>
      <c r="G118" s="46"/>
      <c r="H118" s="30"/>
      <c r="I118" s="30"/>
      <c r="J118" s="46"/>
      <c r="K118" s="46"/>
      <c r="L118" s="30"/>
      <c r="M118" s="30"/>
      <c r="N118" s="30"/>
      <c r="O118" s="40"/>
    </row>
    <row r="119" spans="1:15" ht="15.95" customHeight="1" x14ac:dyDescent="0.25">
      <c r="A119" s="41">
        <v>3</v>
      </c>
      <c r="B119" s="42" t="s">
        <v>81</v>
      </c>
      <c r="C119" s="28"/>
      <c r="D119" s="30"/>
      <c r="E119" s="30"/>
      <c r="F119" s="46"/>
      <c r="G119" s="46"/>
      <c r="H119" s="30"/>
      <c r="I119" s="30"/>
      <c r="J119" s="46"/>
      <c r="K119" s="46"/>
      <c r="L119" s="30"/>
      <c r="M119" s="30"/>
      <c r="N119" s="30"/>
      <c r="O119" s="40"/>
    </row>
    <row r="120" spans="1:15" ht="15.95" customHeight="1" x14ac:dyDescent="0.2">
      <c r="A120" s="44" t="s">
        <v>218</v>
      </c>
      <c r="B120" s="45" t="s">
        <v>219</v>
      </c>
      <c r="C120" s="46">
        <v>10000</v>
      </c>
      <c r="D120" s="30"/>
      <c r="E120" s="30"/>
      <c r="F120" s="46"/>
      <c r="G120" s="46"/>
      <c r="H120" s="30"/>
      <c r="I120" s="30"/>
      <c r="J120" s="46"/>
      <c r="K120" s="46"/>
      <c r="L120" s="30">
        <f t="shared" ref="L120:L133" si="11">C120+D120-E120+F120-G120+J120-K120</f>
        <v>10000</v>
      </c>
      <c r="M120" s="30">
        <v>1299</v>
      </c>
      <c r="N120" s="30">
        <f t="shared" si="10"/>
        <v>8701</v>
      </c>
      <c r="O120" s="40">
        <f>M120/$M$134</f>
        <v>8.8554303748706155E-4</v>
      </c>
    </row>
    <row r="121" spans="1:15" ht="15.95" hidden="1" customHeight="1" x14ac:dyDescent="0.2">
      <c r="A121" s="44" t="s">
        <v>82</v>
      </c>
      <c r="B121" s="45" t="s">
        <v>220</v>
      </c>
      <c r="C121" s="46">
        <v>0</v>
      </c>
      <c r="D121" s="30"/>
      <c r="E121" s="30"/>
      <c r="F121" s="46"/>
      <c r="G121" s="46"/>
      <c r="H121" s="30"/>
      <c r="I121" s="30"/>
      <c r="J121" s="46"/>
      <c r="K121" s="46"/>
      <c r="L121" s="30">
        <f t="shared" si="11"/>
        <v>0</v>
      </c>
      <c r="M121" s="30">
        <v>0</v>
      </c>
      <c r="N121" s="30">
        <f t="shared" si="10"/>
        <v>0</v>
      </c>
      <c r="O121" s="40">
        <f>M121/$M$134</f>
        <v>0</v>
      </c>
    </row>
    <row r="122" spans="1:15" ht="15.95" customHeight="1" x14ac:dyDescent="0.2">
      <c r="A122" s="44" t="s">
        <v>221</v>
      </c>
      <c r="B122" s="45" t="s">
        <v>222</v>
      </c>
      <c r="C122" s="46">
        <v>54035</v>
      </c>
      <c r="D122" s="30"/>
      <c r="E122" s="30"/>
      <c r="F122" s="46"/>
      <c r="G122" s="46"/>
      <c r="H122" s="30"/>
      <c r="I122" s="30"/>
      <c r="J122" s="46"/>
      <c r="K122" s="46"/>
      <c r="L122" s="30">
        <f t="shared" si="11"/>
        <v>54035</v>
      </c>
      <c r="M122" s="30">
        <f>35472.21</f>
        <v>35472.21</v>
      </c>
      <c r="N122" s="30">
        <f t="shared" si="10"/>
        <v>18562.79</v>
      </c>
      <c r="O122" s="40">
        <f>M122/$M$134</f>
        <v>2.4181807998290162E-2</v>
      </c>
    </row>
    <row r="123" spans="1:15" ht="15.95" customHeight="1" x14ac:dyDescent="0.2">
      <c r="A123" s="44" t="s">
        <v>223</v>
      </c>
      <c r="B123" s="45" t="s">
        <v>224</v>
      </c>
      <c r="C123" s="46">
        <v>1500</v>
      </c>
      <c r="D123" s="30"/>
      <c r="E123" s="30"/>
      <c r="F123" s="46"/>
      <c r="G123" s="46"/>
      <c r="H123" s="30"/>
      <c r="I123" s="30"/>
      <c r="J123" s="46"/>
      <c r="K123" s="46"/>
      <c r="L123" s="30">
        <f t="shared" si="11"/>
        <v>1500</v>
      </c>
      <c r="M123" s="30">
        <v>0</v>
      </c>
      <c r="N123" s="30">
        <f t="shared" si="10"/>
        <v>1500</v>
      </c>
      <c r="O123" s="40">
        <f>M123/$M$134</f>
        <v>0</v>
      </c>
    </row>
    <row r="124" spans="1:15" ht="15.95" customHeight="1" x14ac:dyDescent="0.2">
      <c r="A124" s="44">
        <v>328</v>
      </c>
      <c r="B124" s="45" t="s">
        <v>254</v>
      </c>
      <c r="C124" s="46">
        <v>0</v>
      </c>
      <c r="D124" s="30">
        <v>3000</v>
      </c>
      <c r="E124" s="30"/>
      <c r="F124" s="46"/>
      <c r="G124" s="46"/>
      <c r="H124" s="30"/>
      <c r="I124" s="30"/>
      <c r="J124" s="46"/>
      <c r="K124" s="46"/>
      <c r="L124" s="30">
        <f t="shared" si="11"/>
        <v>3000</v>
      </c>
      <c r="M124" s="30"/>
      <c r="N124" s="30"/>
      <c r="O124" s="40"/>
    </row>
    <row r="125" spans="1:15" ht="15.95" customHeight="1" x14ac:dyDescent="0.2">
      <c r="A125" s="44" t="s">
        <v>225</v>
      </c>
      <c r="B125" s="45" t="s">
        <v>226</v>
      </c>
      <c r="C125" s="46">
        <v>14300</v>
      </c>
      <c r="D125" s="30">
        <f>3000+16000</f>
        <v>19000</v>
      </c>
      <c r="E125" s="30"/>
      <c r="F125" s="46"/>
      <c r="G125" s="46"/>
      <c r="H125" s="30"/>
      <c r="I125" s="30"/>
      <c r="J125" s="46"/>
      <c r="K125" s="46"/>
      <c r="L125" s="30">
        <f t="shared" si="11"/>
        <v>33300</v>
      </c>
      <c r="M125" s="30">
        <v>8536.8799999999992</v>
      </c>
      <c r="N125" s="30">
        <f t="shared" si="10"/>
        <v>24763.120000000003</v>
      </c>
      <c r="O125" s="40">
        <f>M125/$M$134</f>
        <v>5.8196879490858703E-3</v>
      </c>
    </row>
    <row r="126" spans="1:15" ht="15.95" hidden="1" customHeight="1" x14ac:dyDescent="0.2">
      <c r="A126" s="44" t="s">
        <v>227</v>
      </c>
      <c r="B126" s="45" t="s">
        <v>228</v>
      </c>
      <c r="C126" s="46">
        <v>0</v>
      </c>
      <c r="D126" s="30"/>
      <c r="E126" s="30"/>
      <c r="F126" s="46"/>
      <c r="G126" s="46"/>
      <c r="H126" s="30"/>
      <c r="I126" s="30"/>
      <c r="J126" s="46"/>
      <c r="K126" s="46"/>
      <c r="L126" s="30">
        <f t="shared" si="11"/>
        <v>0</v>
      </c>
      <c r="M126" s="30">
        <v>0</v>
      </c>
      <c r="N126" s="30">
        <f t="shared" si="10"/>
        <v>0</v>
      </c>
      <c r="O126" s="40">
        <f>M126/$M$134</f>
        <v>0</v>
      </c>
    </row>
    <row r="127" spans="1:15" ht="15.95" customHeight="1" x14ac:dyDescent="0.2">
      <c r="A127" s="44"/>
      <c r="B127" s="45"/>
      <c r="C127" s="46"/>
      <c r="D127" s="30"/>
      <c r="E127" s="30"/>
      <c r="F127" s="46"/>
      <c r="G127" s="46"/>
      <c r="H127" s="30"/>
      <c r="I127" s="30"/>
      <c r="J127" s="46"/>
      <c r="K127" s="46"/>
      <c r="L127" s="30"/>
      <c r="M127" s="30"/>
      <c r="N127" s="30"/>
      <c r="O127" s="40"/>
    </row>
    <row r="128" spans="1:15" ht="15.95" customHeight="1" x14ac:dyDescent="0.2">
      <c r="A128" s="43"/>
      <c r="B128" s="31"/>
      <c r="C128" s="30"/>
      <c r="D128" s="30"/>
      <c r="E128" s="30"/>
      <c r="F128" s="46"/>
      <c r="G128" s="46"/>
      <c r="H128" s="30"/>
      <c r="I128" s="30"/>
      <c r="J128" s="46"/>
      <c r="K128" s="46"/>
      <c r="L128" s="30"/>
      <c r="M128" s="30"/>
      <c r="N128" s="30"/>
      <c r="O128" s="40"/>
    </row>
    <row r="129" spans="1:15" ht="15.95" customHeight="1" x14ac:dyDescent="0.25">
      <c r="A129" s="41">
        <v>4</v>
      </c>
      <c r="B129" s="42" t="s">
        <v>83</v>
      </c>
      <c r="C129" s="28"/>
      <c r="D129" s="30"/>
      <c r="E129" s="30"/>
      <c r="F129" s="46"/>
      <c r="G129" s="46"/>
      <c r="H129" s="30"/>
      <c r="I129" s="30"/>
      <c r="J129" s="46"/>
      <c r="K129" s="46"/>
      <c r="L129" s="30"/>
      <c r="M129" s="30"/>
      <c r="N129" s="30"/>
      <c r="O129" s="40"/>
    </row>
    <row r="130" spans="1:15" ht="15.95" customHeight="1" x14ac:dyDescent="0.2">
      <c r="A130" s="43" t="s">
        <v>229</v>
      </c>
      <c r="B130" s="31" t="s">
        <v>84</v>
      </c>
      <c r="C130" s="30">
        <v>140900</v>
      </c>
      <c r="D130" s="30"/>
      <c r="E130" s="30"/>
      <c r="F130" s="46"/>
      <c r="G130" s="46"/>
      <c r="H130" s="30"/>
      <c r="I130" s="30"/>
      <c r="J130" s="46"/>
      <c r="K130" s="46"/>
      <c r="L130" s="30">
        <f t="shared" si="11"/>
        <v>140900</v>
      </c>
      <c r="M130" s="30">
        <v>61719.78</v>
      </c>
      <c r="N130" s="30">
        <f t="shared" si="10"/>
        <v>79180.22</v>
      </c>
      <c r="O130" s="40">
        <f>M130/$M$134</f>
        <v>4.2075074252681442E-2</v>
      </c>
    </row>
    <row r="131" spans="1:15" ht="15.95" customHeight="1" x14ac:dyDescent="0.2">
      <c r="A131" s="43" t="s">
        <v>230</v>
      </c>
      <c r="B131" s="31" t="s">
        <v>231</v>
      </c>
      <c r="C131" s="30">
        <v>7170</v>
      </c>
      <c r="D131" s="30"/>
      <c r="E131" s="30"/>
      <c r="F131" s="30"/>
      <c r="G131" s="30"/>
      <c r="H131" s="30"/>
      <c r="I131" s="30"/>
      <c r="J131" s="46"/>
      <c r="K131" s="46"/>
      <c r="L131" s="30">
        <f t="shared" si="11"/>
        <v>7170</v>
      </c>
      <c r="M131" s="30">
        <v>3718.87</v>
      </c>
      <c r="N131" s="30">
        <f t="shared" si="10"/>
        <v>3451.13</v>
      </c>
      <c r="O131" s="40">
        <f>M131/$M$134</f>
        <v>2.5351958705307994E-3</v>
      </c>
    </row>
    <row r="132" spans="1:15" ht="15.95" customHeight="1" x14ac:dyDescent="0.2">
      <c r="A132" s="43" t="s">
        <v>232</v>
      </c>
      <c r="B132" s="31" t="s">
        <v>233</v>
      </c>
      <c r="C132" s="30">
        <v>163700</v>
      </c>
      <c r="D132" s="30"/>
      <c r="E132" s="30"/>
      <c r="F132" s="30"/>
      <c r="G132" s="30"/>
      <c r="H132" s="30"/>
      <c r="I132" s="30"/>
      <c r="J132" s="46"/>
      <c r="K132" s="46"/>
      <c r="L132" s="30">
        <f t="shared" si="11"/>
        <v>163700</v>
      </c>
      <c r="M132" s="30">
        <v>23720.77</v>
      </c>
      <c r="N132" s="30">
        <f t="shared" si="10"/>
        <v>139979.23000000001</v>
      </c>
      <c r="O132" s="40">
        <f>M132/$M$134</f>
        <v>1.6170718027199358E-2</v>
      </c>
    </row>
    <row r="133" spans="1:15" ht="15.95" customHeight="1" thickBot="1" x14ac:dyDescent="0.25">
      <c r="A133" s="43" t="s">
        <v>234</v>
      </c>
      <c r="B133" s="31" t="s">
        <v>235</v>
      </c>
      <c r="C133" s="30">
        <v>8750</v>
      </c>
      <c r="D133" s="30"/>
      <c r="E133" s="30"/>
      <c r="F133" s="30"/>
      <c r="G133" s="30"/>
      <c r="H133" s="30"/>
      <c r="I133" s="30"/>
      <c r="J133" s="46"/>
      <c r="K133" s="46"/>
      <c r="L133" s="30">
        <f t="shared" si="11"/>
        <v>8750</v>
      </c>
      <c r="M133" s="30">
        <v>0</v>
      </c>
      <c r="N133" s="30">
        <f t="shared" si="10"/>
        <v>8750</v>
      </c>
      <c r="O133" s="40">
        <f>M133/$M$134</f>
        <v>0</v>
      </c>
    </row>
    <row r="134" spans="1:15" ht="18" customHeight="1" thickBot="1" x14ac:dyDescent="0.3">
      <c r="A134" s="34"/>
      <c r="B134" s="35" t="s">
        <v>94</v>
      </c>
      <c r="C134" s="36">
        <f t="shared" ref="C134:N134" si="12">SUM(C31:C133)</f>
        <v>6416776.6099999994</v>
      </c>
      <c r="D134" s="36">
        <f t="shared" si="12"/>
        <v>129000</v>
      </c>
      <c r="E134" s="36">
        <f t="shared" si="12"/>
        <v>129000</v>
      </c>
      <c r="F134" s="36">
        <f t="shared" si="12"/>
        <v>0</v>
      </c>
      <c r="G134" s="36">
        <f t="shared" si="12"/>
        <v>0</v>
      </c>
      <c r="H134" s="36">
        <f t="shared" si="12"/>
        <v>0</v>
      </c>
      <c r="I134" s="36">
        <f t="shared" si="12"/>
        <v>0</v>
      </c>
      <c r="J134" s="71">
        <f t="shared" si="12"/>
        <v>0</v>
      </c>
      <c r="K134" s="71">
        <f t="shared" si="12"/>
        <v>0</v>
      </c>
      <c r="L134" s="36">
        <f t="shared" si="12"/>
        <v>6416776.6099999994</v>
      </c>
      <c r="M134" s="36">
        <f t="shared" si="12"/>
        <v>1466896.5199999998</v>
      </c>
      <c r="N134" s="36">
        <f t="shared" si="12"/>
        <v>4946880.0900000008</v>
      </c>
      <c r="O134" s="47">
        <v>1</v>
      </c>
    </row>
    <row r="135" spans="1:15" x14ac:dyDescent="0.2">
      <c r="A135" s="48"/>
      <c r="B135" s="85"/>
      <c r="C135" s="88"/>
      <c r="D135" s="86"/>
      <c r="E135" s="49"/>
      <c r="F135" s="49"/>
      <c r="G135" s="49"/>
      <c r="H135" s="49"/>
      <c r="I135" s="49"/>
      <c r="J135" s="72"/>
      <c r="K135" s="72"/>
      <c r="L135" s="49"/>
      <c r="M135" s="49"/>
      <c r="N135" s="49"/>
    </row>
    <row r="136" spans="1:15" ht="15.75" thickBot="1" x14ac:dyDescent="0.25">
      <c r="B136" s="87"/>
      <c r="C136" s="87"/>
      <c r="D136" s="87"/>
      <c r="E136" s="12"/>
      <c r="L136" s="15"/>
      <c r="M136" s="4"/>
    </row>
    <row r="137" spans="1:15" ht="15.75" x14ac:dyDescent="0.25">
      <c r="A137" s="1" t="s">
        <v>85</v>
      </c>
      <c r="B137" s="2"/>
      <c r="C137" s="3"/>
      <c r="D137" s="4"/>
      <c r="E137" s="4"/>
      <c r="F137" s="4"/>
      <c r="G137" s="4"/>
      <c r="H137" s="4"/>
      <c r="I137" s="4"/>
      <c r="J137" s="73"/>
      <c r="K137" s="73"/>
      <c r="L137" s="4"/>
      <c r="M137" s="4"/>
    </row>
    <row r="138" spans="1:15" ht="15.75" x14ac:dyDescent="0.25">
      <c r="A138" s="5" t="s">
        <v>2</v>
      </c>
      <c r="B138" s="6"/>
      <c r="C138" s="7"/>
      <c r="D138" s="4"/>
      <c r="E138" s="4"/>
      <c r="F138" s="4"/>
      <c r="G138" s="4"/>
      <c r="H138" s="4"/>
      <c r="I138" s="4"/>
      <c r="J138" s="73"/>
      <c r="K138" s="73"/>
      <c r="L138" s="4"/>
      <c r="M138" s="4"/>
    </row>
    <row r="139" spans="1:15" ht="5.0999999999999996" customHeight="1" thickBot="1" x14ac:dyDescent="0.25">
      <c r="A139" s="8"/>
      <c r="B139" s="9"/>
      <c r="C139" s="10"/>
      <c r="D139" s="4"/>
      <c r="E139" s="4"/>
      <c r="F139" s="4"/>
      <c r="G139" s="4"/>
      <c r="H139" s="4"/>
      <c r="I139" s="4"/>
      <c r="J139" s="73"/>
      <c r="K139" s="73"/>
      <c r="L139" s="4"/>
      <c r="M139" s="4"/>
    </row>
    <row r="140" spans="1:15" ht="6.95" customHeight="1" x14ac:dyDescent="0.2">
      <c r="A140" s="51"/>
      <c r="B140" s="52"/>
      <c r="C140" s="53"/>
      <c r="D140" s="4"/>
      <c r="E140" s="4"/>
      <c r="F140" s="4"/>
      <c r="G140" s="4"/>
      <c r="H140" s="4"/>
      <c r="I140" s="4"/>
      <c r="J140" s="73"/>
      <c r="K140" s="73"/>
      <c r="L140" s="4"/>
      <c r="M140" s="4"/>
    </row>
    <row r="141" spans="1:15" x14ac:dyDescent="0.2">
      <c r="A141" s="54" t="s">
        <v>86</v>
      </c>
      <c r="B141" s="55"/>
      <c r="C141" s="56"/>
      <c r="D141" s="4"/>
      <c r="E141" s="4"/>
      <c r="F141" s="4"/>
      <c r="G141" s="4"/>
      <c r="H141" s="4"/>
      <c r="I141" s="4"/>
      <c r="J141" s="73"/>
      <c r="K141" s="73"/>
      <c r="L141" s="4"/>
    </row>
    <row r="142" spans="1:15" x14ac:dyDescent="0.2">
      <c r="A142" s="57" t="s">
        <v>236</v>
      </c>
      <c r="B142" s="55"/>
      <c r="C142" s="76">
        <f>260706.83+1025276.81</f>
        <v>1285983.6400000001</v>
      </c>
      <c r="D142" s="49"/>
      <c r="E142" s="4"/>
      <c r="F142" s="4"/>
      <c r="G142" s="4"/>
      <c r="H142" s="4"/>
      <c r="I142" s="4"/>
      <c r="J142" s="73"/>
      <c r="K142" s="73"/>
      <c r="L142" s="4"/>
    </row>
    <row r="143" spans="1:15" x14ac:dyDescent="0.2">
      <c r="A143" s="57" t="s">
        <v>256</v>
      </c>
      <c r="B143" s="55"/>
      <c r="C143" s="76">
        <f>50710.94-4603.19-39.95</f>
        <v>46067.8</v>
      </c>
      <c r="D143" s="49"/>
      <c r="E143" s="4"/>
      <c r="F143" s="4"/>
      <c r="G143" s="4"/>
      <c r="H143" s="4"/>
      <c r="I143" s="4"/>
      <c r="J143" s="73"/>
      <c r="K143" s="73"/>
      <c r="L143" s="4"/>
    </row>
    <row r="144" spans="1:15" x14ac:dyDescent="0.2">
      <c r="A144" s="97" t="s">
        <v>267</v>
      </c>
      <c r="B144" s="55"/>
      <c r="C144" s="76">
        <v>-23005.8</v>
      </c>
      <c r="D144" s="49"/>
      <c r="E144" s="4"/>
      <c r="F144" s="4"/>
      <c r="G144" s="4"/>
      <c r="H144" s="4"/>
      <c r="I144" s="4"/>
      <c r="J144" s="73"/>
      <c r="K144" s="73"/>
      <c r="L144" s="4"/>
    </row>
    <row r="145" spans="1:12" x14ac:dyDescent="0.2">
      <c r="A145" s="57" t="s">
        <v>87</v>
      </c>
      <c r="B145" s="55"/>
      <c r="C145" s="76">
        <f>M26</f>
        <v>2082863</v>
      </c>
      <c r="D145" s="4"/>
      <c r="E145" s="4"/>
      <c r="F145" s="4"/>
      <c r="G145" s="4"/>
      <c r="H145" s="4"/>
      <c r="I145" s="4"/>
      <c r="J145" s="73"/>
      <c r="K145" s="73"/>
      <c r="L145" s="4"/>
    </row>
    <row r="146" spans="1:12" x14ac:dyDescent="0.2">
      <c r="A146" s="57" t="s">
        <v>88</v>
      </c>
      <c r="B146" s="55"/>
      <c r="C146" s="77">
        <f>-M134-39.95</f>
        <v>-1466936.4699999997</v>
      </c>
      <c r="D146" s="4"/>
      <c r="E146" s="4"/>
      <c r="F146" s="4"/>
      <c r="G146" s="4"/>
      <c r="H146" s="4"/>
      <c r="I146" s="4"/>
      <c r="J146" s="73"/>
      <c r="K146" s="73"/>
      <c r="L146" s="4"/>
    </row>
    <row r="147" spans="1:12" ht="15.75" x14ac:dyDescent="0.25">
      <c r="A147" s="58" t="s">
        <v>89</v>
      </c>
      <c r="B147" s="59"/>
      <c r="C147" s="78">
        <f>SUM(C142:C146)</f>
        <v>1924972.1700000004</v>
      </c>
      <c r="D147" s="4"/>
      <c r="E147" s="4"/>
      <c r="F147" s="4"/>
      <c r="G147" s="4"/>
      <c r="H147" s="4"/>
      <c r="I147" s="4"/>
      <c r="J147" s="73"/>
      <c r="K147" s="73"/>
      <c r="L147" s="4"/>
    </row>
    <row r="148" spans="1:12" ht="5.0999999999999996" customHeight="1" x14ac:dyDescent="0.25">
      <c r="A148" s="58"/>
      <c r="B148" s="59"/>
      <c r="C148" s="78"/>
      <c r="D148" s="4"/>
      <c r="E148" s="4"/>
      <c r="F148" s="4"/>
      <c r="G148" s="4"/>
      <c r="H148" s="4"/>
      <c r="I148" s="4"/>
      <c r="J148" s="73"/>
      <c r="K148" s="73"/>
      <c r="L148" s="4"/>
    </row>
    <row r="149" spans="1:12" x14ac:dyDescent="0.2">
      <c r="A149" s="54" t="s">
        <v>90</v>
      </c>
      <c r="B149" s="55"/>
      <c r="C149" s="76"/>
      <c r="D149" s="90"/>
      <c r="E149" s="91"/>
      <c r="F149" s="4"/>
      <c r="G149" s="4"/>
      <c r="H149" s="4"/>
      <c r="I149" s="4"/>
      <c r="J149" s="73"/>
      <c r="K149" s="73"/>
      <c r="L149" s="4"/>
    </row>
    <row r="150" spans="1:12" x14ac:dyDescent="0.2">
      <c r="A150" s="57" t="s">
        <v>152</v>
      </c>
      <c r="B150" s="55"/>
      <c r="C150" s="76">
        <v>272</v>
      </c>
      <c r="D150" s="92"/>
      <c r="E150" s="91"/>
      <c r="F150" s="4"/>
      <c r="G150" s="4"/>
      <c r="H150" s="4"/>
      <c r="I150" s="4"/>
      <c r="J150" s="73"/>
      <c r="K150" s="73"/>
      <c r="L150" s="4"/>
    </row>
    <row r="151" spans="1:12" x14ac:dyDescent="0.2">
      <c r="A151" s="57" t="s">
        <v>156</v>
      </c>
      <c r="B151" s="55"/>
      <c r="C151" s="76">
        <v>10386.11</v>
      </c>
      <c r="D151" s="92"/>
      <c r="E151" s="91"/>
      <c r="F151" s="4"/>
      <c r="G151" s="4"/>
      <c r="H151" s="4"/>
      <c r="I151" s="4"/>
      <c r="J151" s="73"/>
      <c r="K151" s="73"/>
      <c r="L151" s="4"/>
    </row>
    <row r="152" spans="1:12" x14ac:dyDescent="0.2">
      <c r="A152" s="57" t="s">
        <v>154</v>
      </c>
      <c r="B152" s="55"/>
      <c r="C152" s="76">
        <v>1053.68</v>
      </c>
      <c r="D152" s="92"/>
      <c r="E152" s="91"/>
      <c r="F152" s="4"/>
      <c r="G152" s="4"/>
      <c r="H152" s="4"/>
      <c r="I152" s="4"/>
      <c r="J152" s="73"/>
      <c r="K152" s="73"/>
      <c r="L152" s="4"/>
    </row>
    <row r="153" spans="1:12" x14ac:dyDescent="0.2">
      <c r="A153" s="57" t="s">
        <v>153</v>
      </c>
      <c r="B153" s="55"/>
      <c r="C153" s="76">
        <v>1953.36</v>
      </c>
      <c r="D153" s="93"/>
      <c r="E153" s="94"/>
      <c r="F153" s="4"/>
      <c r="G153" s="4"/>
      <c r="H153" s="4"/>
      <c r="I153" s="4"/>
      <c r="J153" s="73"/>
      <c r="K153" s="73"/>
      <c r="L153" s="4"/>
    </row>
    <row r="154" spans="1:12" x14ac:dyDescent="0.2">
      <c r="A154" s="57" t="s">
        <v>253</v>
      </c>
      <c r="B154" s="55"/>
      <c r="C154" s="76">
        <f>990.15+990.15+990.15+990.15</f>
        <v>3960.6</v>
      </c>
      <c r="D154" s="93"/>
      <c r="E154" s="94"/>
      <c r="F154" s="4"/>
      <c r="G154" s="4"/>
      <c r="H154" s="4"/>
      <c r="I154" s="4"/>
      <c r="J154" s="73"/>
      <c r="K154" s="73"/>
      <c r="L154" s="4"/>
    </row>
    <row r="155" spans="1:12" ht="2.1" customHeight="1" x14ac:dyDescent="0.2">
      <c r="A155" s="57"/>
      <c r="B155" s="55"/>
      <c r="C155" s="77"/>
      <c r="D155" s="92"/>
      <c r="E155" s="91"/>
      <c r="F155" s="4"/>
      <c r="G155" s="4"/>
      <c r="H155" s="4"/>
      <c r="I155" s="4"/>
      <c r="J155" s="73"/>
      <c r="K155" s="73"/>
      <c r="L155" s="4"/>
    </row>
    <row r="156" spans="1:12" ht="15.75" x14ac:dyDescent="0.25">
      <c r="A156" s="58"/>
      <c r="B156" s="59"/>
      <c r="C156" s="78">
        <f>SUM(C150:C155)</f>
        <v>17625.75</v>
      </c>
      <c r="D156" s="92"/>
      <c r="E156" s="91"/>
      <c r="F156" s="4"/>
      <c r="G156" s="4"/>
      <c r="H156" s="4"/>
      <c r="I156" s="4"/>
      <c r="J156" s="73"/>
      <c r="K156" s="73"/>
      <c r="L156" s="4"/>
    </row>
    <row r="157" spans="1:12" ht="2.1" customHeight="1" x14ac:dyDescent="0.25">
      <c r="A157" s="58"/>
      <c r="B157" s="59"/>
      <c r="C157" s="79"/>
      <c r="D157" s="90"/>
      <c r="E157" s="91"/>
      <c r="F157" s="4"/>
      <c r="G157" s="4"/>
      <c r="H157" s="4"/>
      <c r="I157" s="4"/>
      <c r="J157" s="73"/>
      <c r="K157" s="73"/>
      <c r="L157" s="4"/>
    </row>
    <row r="158" spans="1:12" ht="9.9499999999999993" customHeight="1" x14ac:dyDescent="0.2">
      <c r="A158" s="57"/>
      <c r="B158" s="55"/>
      <c r="C158" s="76"/>
      <c r="D158" s="90"/>
      <c r="E158" s="91"/>
      <c r="F158" s="4"/>
      <c r="G158" s="4"/>
      <c r="H158" s="4"/>
      <c r="I158" s="4"/>
      <c r="J158" s="73"/>
      <c r="K158" s="73"/>
      <c r="L158" s="4"/>
    </row>
    <row r="159" spans="1:12" ht="16.5" thickBot="1" x14ac:dyDescent="0.3">
      <c r="A159" s="60" t="s">
        <v>266</v>
      </c>
      <c r="B159" s="61"/>
      <c r="C159" s="75">
        <f>C147+C156</f>
        <v>1942597.9200000004</v>
      </c>
      <c r="D159" s="90"/>
      <c r="E159" s="91"/>
      <c r="F159" s="4"/>
      <c r="G159" s="4"/>
      <c r="H159" s="4"/>
      <c r="I159" s="4"/>
      <c r="J159" s="73"/>
      <c r="K159" s="73"/>
      <c r="L159" s="4"/>
    </row>
    <row r="160" spans="1:12" x14ac:dyDescent="0.2">
      <c r="A160" s="62"/>
      <c r="B160" s="62"/>
      <c r="C160" s="63"/>
      <c r="D160" s="4"/>
      <c r="E160" s="4"/>
      <c r="F160" s="4"/>
      <c r="G160" s="4"/>
      <c r="H160" s="4"/>
      <c r="I160" s="4"/>
      <c r="J160" s="73"/>
      <c r="K160" s="73"/>
      <c r="L160" s="4"/>
    </row>
    <row r="161" spans="2:13" x14ac:dyDescent="0.2">
      <c r="C161" s="63"/>
      <c r="D161" s="4"/>
    </row>
    <row r="162" spans="2:13" x14ac:dyDescent="0.2">
      <c r="C162" s="14"/>
      <c r="D162" s="4"/>
    </row>
    <row r="163" spans="2:13" x14ac:dyDescent="0.2">
      <c r="C163" s="14"/>
      <c r="D163" s="4"/>
    </row>
    <row r="164" spans="2:13" x14ac:dyDescent="0.2">
      <c r="C164" s="15"/>
      <c r="D164" s="4"/>
      <c r="I164" s="4"/>
      <c r="K164" s="73"/>
      <c r="L164" s="4"/>
    </row>
    <row r="165" spans="2:13" x14ac:dyDescent="0.2">
      <c r="C165" s="15"/>
      <c r="D165" s="4"/>
    </row>
    <row r="166" spans="2:13" x14ac:dyDescent="0.2">
      <c r="C166" s="15"/>
      <c r="D166" s="4"/>
    </row>
    <row r="167" spans="2:13" x14ac:dyDescent="0.2">
      <c r="C167" s="15"/>
      <c r="D167" s="4"/>
    </row>
    <row r="168" spans="2:13" x14ac:dyDescent="0.2">
      <c r="C168" s="15"/>
      <c r="D168" s="4"/>
    </row>
    <row r="169" spans="2:13" x14ac:dyDescent="0.2">
      <c r="D169" s="4"/>
    </row>
    <row r="170" spans="2:13" x14ac:dyDescent="0.2">
      <c r="D170" s="4"/>
    </row>
    <row r="171" spans="2:13" x14ac:dyDescent="0.2">
      <c r="B171" s="11" t="s">
        <v>239</v>
      </c>
      <c r="D171" s="13" t="s">
        <v>240</v>
      </c>
      <c r="I171" s="13"/>
      <c r="K171" s="83"/>
      <c r="M171" s="11" t="s">
        <v>269</v>
      </c>
    </row>
    <row r="172" spans="2:13" x14ac:dyDescent="0.2">
      <c r="B172" s="11" t="s">
        <v>91</v>
      </c>
      <c r="D172" s="13" t="s">
        <v>92</v>
      </c>
      <c r="M172" s="11" t="s">
        <v>270</v>
      </c>
    </row>
    <row r="175" spans="2:13" x14ac:dyDescent="0.2">
      <c r="I175" s="4"/>
      <c r="K175" s="73"/>
      <c r="L175" s="4"/>
    </row>
    <row r="176" spans="2:13" x14ac:dyDescent="0.2">
      <c r="I176" s="4"/>
      <c r="K176" s="73"/>
      <c r="L176" s="4"/>
    </row>
    <row r="177" spans="7:12" x14ac:dyDescent="0.2">
      <c r="G177" s="64"/>
      <c r="I177" s="64"/>
      <c r="K177" s="74"/>
      <c r="L177" s="4"/>
    </row>
    <row r="178" spans="7:12" x14ac:dyDescent="0.2">
      <c r="G178" s="64"/>
      <c r="I178" s="64"/>
      <c r="K178" s="74"/>
      <c r="L178" s="4"/>
    </row>
    <row r="179" spans="7:12" x14ac:dyDescent="0.2">
      <c r="G179" s="64"/>
      <c r="L179" s="4"/>
    </row>
    <row r="180" spans="7:12" x14ac:dyDescent="0.2">
      <c r="G180" s="64"/>
    </row>
    <row r="181" spans="7:12" x14ac:dyDescent="0.2">
      <c r="G181" s="64"/>
    </row>
    <row r="182" spans="7:12" x14ac:dyDescent="0.2">
      <c r="G182" s="64"/>
      <c r="L182" s="4"/>
    </row>
    <row r="183" spans="7:12" x14ac:dyDescent="0.2">
      <c r="G183" s="64"/>
    </row>
    <row r="184" spans="7:12" x14ac:dyDescent="0.2">
      <c r="G184" s="64"/>
    </row>
    <row r="185" spans="7:12" x14ac:dyDescent="0.2">
      <c r="G185" s="64"/>
    </row>
    <row r="186" spans="7:12" x14ac:dyDescent="0.2">
      <c r="G186" s="64"/>
    </row>
    <row r="187" spans="7:12" x14ac:dyDescent="0.2">
      <c r="G187" s="64"/>
    </row>
    <row r="188" spans="7:12" x14ac:dyDescent="0.2">
      <c r="G188" s="64"/>
    </row>
    <row r="189" spans="7:12" x14ac:dyDescent="0.2">
      <c r="G189" s="64"/>
    </row>
    <row r="190" spans="7:12" x14ac:dyDescent="0.2">
      <c r="G190" s="64"/>
    </row>
    <row r="191" spans="7:12" x14ac:dyDescent="0.2">
      <c r="G191" s="64"/>
    </row>
    <row r="192" spans="7:12" x14ac:dyDescent="0.2">
      <c r="G192" s="64"/>
    </row>
    <row r="193" spans="7:7" x14ac:dyDescent="0.2">
      <c r="G193" s="64"/>
    </row>
    <row r="194" spans="7:7" x14ac:dyDescent="0.2">
      <c r="G194" s="64"/>
    </row>
  </sheetData>
  <mergeCells count="2">
    <mergeCell ref="B6:B7"/>
    <mergeCell ref="M6:M7"/>
  </mergeCells>
  <pageMargins left="0.70866141732283472" right="0.70866141732283472" top="0.74803149606299213" bottom="0.74803149606299213" header="0.31496062992125984" footer="0.31496062992125984"/>
  <pageSetup scale="44" orientation="landscape" horizontalDpi="0" verticalDpi="0" r:id="rId1"/>
  <rowBreaks count="1" manualBreakCount="1">
    <brk id="7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7"/>
  <sheetViews>
    <sheetView topLeftCell="A134" zoomScaleNormal="100" workbookViewId="0">
      <selection activeCell="M26" sqref="M26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9" width="16.42578125" style="11" customWidth="1"/>
    <col min="10" max="11" width="13.42578125" style="62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5"/>
      <c r="K1" s="65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5"/>
      <c r="K2" s="65"/>
      <c r="L2" s="16"/>
      <c r="M2" s="16"/>
      <c r="N2" s="16"/>
      <c r="O2" s="17"/>
    </row>
    <row r="3" spans="1:15" ht="15.75" x14ac:dyDescent="0.25">
      <c r="A3" s="16" t="s">
        <v>265</v>
      </c>
      <c r="B3" s="16"/>
      <c r="C3" s="16"/>
      <c r="D3" s="16"/>
      <c r="E3" s="16"/>
      <c r="F3" s="16"/>
      <c r="G3" s="16"/>
      <c r="H3" s="16"/>
      <c r="I3" s="16"/>
      <c r="J3" s="65"/>
      <c r="K3" s="65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5"/>
      <c r="K4" s="65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6"/>
      <c r="K5" s="66"/>
      <c r="L5" s="17"/>
      <c r="M5" s="17"/>
      <c r="N5" s="17"/>
      <c r="O5" s="17"/>
    </row>
    <row r="6" spans="1:15" ht="16.5" thickBot="1" x14ac:dyDescent="0.3">
      <c r="A6" s="18" t="s">
        <v>3</v>
      </c>
      <c r="B6" s="100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9" t="s">
        <v>18</v>
      </c>
      <c r="I6" s="84"/>
      <c r="J6" s="67" t="s">
        <v>155</v>
      </c>
      <c r="K6" s="80" t="s">
        <v>155</v>
      </c>
      <c r="L6" s="18" t="s">
        <v>5</v>
      </c>
      <c r="M6" s="100" t="s">
        <v>8</v>
      </c>
      <c r="N6" s="18" t="s">
        <v>9</v>
      </c>
      <c r="O6" s="18" t="s">
        <v>10</v>
      </c>
    </row>
    <row r="7" spans="1:15" ht="16.5" thickBot="1" x14ac:dyDescent="0.3">
      <c r="A7" s="21" t="s">
        <v>11</v>
      </c>
      <c r="B7" s="101"/>
      <c r="C7" s="21" t="s">
        <v>12</v>
      </c>
      <c r="D7" s="22" t="s">
        <v>13</v>
      </c>
      <c r="E7" s="22" t="s">
        <v>14</v>
      </c>
      <c r="F7" s="22" t="s">
        <v>13</v>
      </c>
      <c r="G7" s="22" t="s">
        <v>14</v>
      </c>
      <c r="H7" s="22" t="s">
        <v>13</v>
      </c>
      <c r="I7" s="23" t="s">
        <v>14</v>
      </c>
      <c r="J7" s="68" t="s">
        <v>13</v>
      </c>
      <c r="K7" s="81" t="s">
        <v>14</v>
      </c>
      <c r="L7" s="21" t="s">
        <v>15</v>
      </c>
      <c r="M7" s="101"/>
      <c r="N7" s="21" t="s">
        <v>16</v>
      </c>
      <c r="O7" s="21" t="s">
        <v>17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9"/>
      <c r="K8" s="69"/>
      <c r="L8" s="25"/>
      <c r="M8" s="25"/>
      <c r="N8" s="25"/>
      <c r="O8" s="26"/>
    </row>
    <row r="9" spans="1:15" ht="15.95" customHeight="1" x14ac:dyDescent="0.25">
      <c r="A9" s="27"/>
      <c r="B9" s="27" t="s">
        <v>187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19</v>
      </c>
      <c r="B10" s="31" t="s">
        <v>188</v>
      </c>
      <c r="C10" s="30">
        <v>33000</v>
      </c>
      <c r="D10" s="30"/>
      <c r="E10" s="30"/>
      <c r="F10" s="30"/>
      <c r="G10" s="30">
        <v>6700</v>
      </c>
      <c r="H10" s="30"/>
      <c r="I10" s="30"/>
      <c r="J10" s="46"/>
      <c r="K10" s="46"/>
      <c r="L10" s="30">
        <f t="shared" ref="L10:L22" si="0">C10+D10-E10+F10-G10+J10-K10</f>
        <v>26300</v>
      </c>
      <c r="M10" s="30">
        <f>13600+7600+600+400</f>
        <v>22200</v>
      </c>
      <c r="N10" s="30">
        <f t="shared" ref="N10:N22" si="1">L10-M10</f>
        <v>4100</v>
      </c>
      <c r="O10" s="29">
        <f>M10/$M$26</f>
        <v>9.5133906673106183E-3</v>
      </c>
    </row>
    <row r="11" spans="1:15" ht="15.95" hidden="1" customHeight="1" x14ac:dyDescent="0.25">
      <c r="A11" s="31" t="s">
        <v>29</v>
      </c>
      <c r="B11" s="31" t="s">
        <v>30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si="0"/>
        <v>0</v>
      </c>
      <c r="M11" s="30">
        <v>0</v>
      </c>
      <c r="N11" s="30">
        <v>0</v>
      </c>
      <c r="O11" s="29"/>
    </row>
    <row r="12" spans="1:15" ht="15.95" customHeight="1" x14ac:dyDescent="0.25">
      <c r="A12" s="31" t="s">
        <v>20</v>
      </c>
      <c r="B12" s="31" t="s">
        <v>189</v>
      </c>
      <c r="C12" s="30">
        <v>25000</v>
      </c>
      <c r="D12" s="30"/>
      <c r="E12" s="30"/>
      <c r="F12" s="30"/>
      <c r="G12" s="30"/>
      <c r="H12" s="30"/>
      <c r="I12" s="30"/>
      <c r="J12" s="46"/>
      <c r="K12" s="46"/>
      <c r="L12" s="30">
        <f t="shared" si="0"/>
        <v>25000</v>
      </c>
      <c r="M12" s="30">
        <f>400.4+1360+750</f>
        <v>2510.4</v>
      </c>
      <c r="N12" s="30">
        <f t="shared" si="1"/>
        <v>22489.599999999999</v>
      </c>
      <c r="O12" s="29">
        <f>M12/$M$26</f>
        <v>1.075784501406152E-3</v>
      </c>
    </row>
    <row r="13" spans="1:15" ht="15.95" customHeight="1" x14ac:dyDescent="0.25">
      <c r="A13" s="31" t="s">
        <v>21</v>
      </c>
      <c r="B13" s="31" t="s">
        <v>190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0"/>
        <v>3500</v>
      </c>
      <c r="M13" s="30">
        <v>0</v>
      </c>
      <c r="N13" s="30">
        <f t="shared" si="1"/>
        <v>3500</v>
      </c>
      <c r="O13" s="29">
        <f>M13/$M$26</f>
        <v>0</v>
      </c>
    </row>
    <row r="14" spans="1:15" ht="15.95" customHeight="1" x14ac:dyDescent="0.25">
      <c r="A14" s="31"/>
      <c r="B14" s="27" t="s">
        <v>191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192</v>
      </c>
      <c r="B15" s="31" t="s">
        <v>245</v>
      </c>
      <c r="C15" s="30">
        <v>3300</v>
      </c>
      <c r="D15" s="30"/>
      <c r="E15" s="30"/>
      <c r="F15" s="30">
        <v>6700</v>
      </c>
      <c r="G15" s="30"/>
      <c r="H15" s="30"/>
      <c r="I15" s="30"/>
      <c r="J15" s="46"/>
      <c r="K15" s="46"/>
      <c r="L15" s="30">
        <f t="shared" si="0"/>
        <v>10000</v>
      </c>
      <c r="M15" s="30">
        <f>471.37+563.88+670.99+877.82+980.93+976.17+3.5+980.48</f>
        <v>5525.1399999999994</v>
      </c>
      <c r="N15" s="30">
        <f t="shared" si="1"/>
        <v>4474.8600000000006</v>
      </c>
      <c r="O15" s="29">
        <f>M15/$M$26</f>
        <v>2.3676943834047108E-3</v>
      </c>
    </row>
    <row r="16" spans="1:15" ht="15.95" customHeight="1" x14ac:dyDescent="0.25">
      <c r="A16" s="27" t="s">
        <v>242</v>
      </c>
      <c r="B16" s="27" t="s">
        <v>243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244</v>
      </c>
      <c r="B17" s="27" t="s">
        <v>241</v>
      </c>
      <c r="C17" s="89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22</v>
      </c>
      <c r="B18" s="31" t="s">
        <v>23</v>
      </c>
      <c r="C18" s="30">
        <v>2996512.52</v>
      </c>
      <c r="D18" s="30"/>
      <c r="E18" s="30"/>
      <c r="F18" s="30"/>
      <c r="G18" s="30"/>
      <c r="H18" s="30"/>
      <c r="I18" s="30"/>
      <c r="J18" s="46"/>
      <c r="K18" s="46"/>
      <c r="L18" s="30">
        <f t="shared" si="0"/>
        <v>2996512.52</v>
      </c>
      <c r="M18" s="30">
        <f>355870+247708.11+247708.11+247708.11+227292.61+228925.85+249709.38</f>
        <v>1804922.17</v>
      </c>
      <c r="N18" s="30">
        <f t="shared" si="1"/>
        <v>1191590.3500000001</v>
      </c>
      <c r="O18" s="29">
        <f>M18/$M$26</f>
        <v>0.77346530303153282</v>
      </c>
    </row>
    <row r="19" spans="1:15" ht="15.95" hidden="1" customHeight="1" x14ac:dyDescent="0.25">
      <c r="A19" s="31" t="s">
        <v>24</v>
      </c>
      <c r="B19" s="31" t="s">
        <v>32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0"/>
        <v>0</v>
      </c>
      <c r="M19" s="30">
        <v>0</v>
      </c>
      <c r="N19" s="30">
        <f t="shared" si="1"/>
        <v>0</v>
      </c>
      <c r="O19" s="29">
        <f>M19/$M$26</f>
        <v>0</v>
      </c>
    </row>
    <row r="20" spans="1:15" ht="15.95" customHeight="1" x14ac:dyDescent="0.25">
      <c r="A20" s="31" t="s">
        <v>25</v>
      </c>
      <c r="B20" s="31" t="s">
        <v>26</v>
      </c>
      <c r="C20" s="30">
        <v>1809978.55</v>
      </c>
      <c r="D20" s="30"/>
      <c r="E20" s="30"/>
      <c r="F20" s="30"/>
      <c r="G20" s="30"/>
      <c r="H20" s="30"/>
      <c r="I20" s="30"/>
      <c r="J20" s="46"/>
      <c r="K20" s="46"/>
      <c r="L20" s="30">
        <f t="shared" si="0"/>
        <v>1809978.55</v>
      </c>
      <c r="M20" s="30">
        <f>351172.36+20685</f>
        <v>371857.36</v>
      </c>
      <c r="N20" s="30">
        <f t="shared" si="1"/>
        <v>1438121.19</v>
      </c>
      <c r="O20" s="29">
        <f>M20/$M$26</f>
        <v>0.15935244766643084</v>
      </c>
    </row>
    <row r="21" spans="1:15" ht="15.95" customHeight="1" x14ac:dyDescent="0.25">
      <c r="A21" s="31" t="s">
        <v>27</v>
      </c>
      <c r="B21" s="31" t="s">
        <v>28</v>
      </c>
      <c r="C21" s="30">
        <v>20000</v>
      </c>
      <c r="D21" s="30"/>
      <c r="E21" s="30"/>
      <c r="F21" s="30"/>
      <c r="G21" s="30"/>
      <c r="H21" s="30"/>
      <c r="I21" s="30"/>
      <c r="J21" s="46"/>
      <c r="K21" s="46"/>
      <c r="L21" s="30">
        <f t="shared" si="0"/>
        <v>20000</v>
      </c>
      <c r="M21" s="30">
        <v>0</v>
      </c>
      <c r="N21" s="30">
        <f t="shared" si="1"/>
        <v>20000</v>
      </c>
      <c r="O21" s="29">
        <f>M21/$M$26</f>
        <v>0</v>
      </c>
    </row>
    <row r="22" spans="1:15" ht="15.95" customHeight="1" x14ac:dyDescent="0.25">
      <c r="A22" s="32" t="s">
        <v>31</v>
      </c>
      <c r="B22" s="32" t="s">
        <v>33</v>
      </c>
      <c r="C22" s="33">
        <v>239501.9</v>
      </c>
      <c r="D22" s="33"/>
      <c r="E22" s="33"/>
      <c r="F22" s="33"/>
      <c r="G22" s="33"/>
      <c r="H22" s="33"/>
      <c r="I22" s="33"/>
      <c r="J22" s="70"/>
      <c r="K22" s="70"/>
      <c r="L22" s="30">
        <f t="shared" si="0"/>
        <v>239501.9</v>
      </c>
      <c r="M22" s="30">
        <f>53680.2+72857.59</f>
        <v>126537.79</v>
      </c>
      <c r="N22" s="30">
        <f t="shared" si="1"/>
        <v>112964.11</v>
      </c>
      <c r="O22" s="29">
        <f>M22/$M$26</f>
        <v>5.4225379749914898E-2</v>
      </c>
    </row>
    <row r="23" spans="1:15" ht="15.95" customHeight="1" x14ac:dyDescent="0.25">
      <c r="A23" s="27"/>
      <c r="B23" s="27" t="s">
        <v>193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30"/>
      <c r="N23" s="28"/>
      <c r="O23" s="29"/>
    </row>
    <row r="24" spans="1:15" ht="15.95" customHeight="1" x14ac:dyDescent="0.25">
      <c r="A24" s="31" t="s">
        <v>196</v>
      </c>
      <c r="B24" s="31" t="s">
        <v>197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>
        <v>0</v>
      </c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195</v>
      </c>
      <c r="B25" s="31" t="s">
        <v>194</v>
      </c>
      <c r="C25" s="30">
        <v>1025276.81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1025276.81</v>
      </c>
      <c r="M25" s="30"/>
      <c r="N25" s="30">
        <f>L25-M25</f>
        <v>1025276.81</v>
      </c>
      <c r="O25" s="29">
        <f>M25/$M$26</f>
        <v>0</v>
      </c>
    </row>
    <row r="26" spans="1:15" ht="18" customHeight="1" thickBot="1" x14ac:dyDescent="0.3">
      <c r="A26" s="34"/>
      <c r="B26" s="35" t="s">
        <v>34</v>
      </c>
      <c r="C26" s="36">
        <f>SUM(C9:C25)</f>
        <v>6416776.6100000013</v>
      </c>
      <c r="D26" s="36">
        <f t="shared" ref="D26:N26" si="2">SUM(D9:D25)</f>
        <v>0</v>
      </c>
      <c r="E26" s="36">
        <f t="shared" si="2"/>
        <v>0</v>
      </c>
      <c r="F26" s="36">
        <f t="shared" si="2"/>
        <v>6700</v>
      </c>
      <c r="G26" s="36">
        <f t="shared" si="2"/>
        <v>6700</v>
      </c>
      <c r="H26" s="36">
        <f t="shared" si="2"/>
        <v>0</v>
      </c>
      <c r="I26" s="36">
        <f t="shared" si="2"/>
        <v>0</v>
      </c>
      <c r="J26" s="36">
        <f t="shared" si="2"/>
        <v>0</v>
      </c>
      <c r="K26" s="36">
        <f t="shared" si="2"/>
        <v>0</v>
      </c>
      <c r="L26" s="36">
        <f t="shared" si="2"/>
        <v>6416776.6100000013</v>
      </c>
      <c r="M26" s="36">
        <f t="shared" si="2"/>
        <v>2333552.86</v>
      </c>
      <c r="N26" s="36">
        <f t="shared" si="2"/>
        <v>4083223.75</v>
      </c>
      <c r="O26" s="29"/>
    </row>
    <row r="27" spans="1:15" ht="15.95" customHeight="1" x14ac:dyDescent="0.2">
      <c r="A27" s="37"/>
      <c r="B27" s="37"/>
      <c r="C27" s="38">
        <f>6416776.61-C26</f>
        <v>0</v>
      </c>
      <c r="D27" s="38"/>
      <c r="E27" s="38"/>
      <c r="F27" s="38"/>
      <c r="G27" s="38"/>
      <c r="H27" s="38"/>
      <c r="I27" s="38"/>
      <c r="J27" s="69"/>
      <c r="K27" s="69"/>
      <c r="L27" s="38"/>
      <c r="M27" s="38"/>
      <c r="N27" s="38"/>
      <c r="O27" s="39"/>
    </row>
    <row r="28" spans="1:15" ht="15.95" customHeight="1" x14ac:dyDescent="0.25">
      <c r="A28" s="27" t="s">
        <v>35</v>
      </c>
      <c r="B28" s="27" t="s">
        <v>36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37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38</v>
      </c>
      <c r="B31" s="31" t="s">
        <v>159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v>441693.7</v>
      </c>
      <c r="N31" s="30">
        <f t="shared" ref="N31:N97" si="3">L31-M31</f>
        <v>342878.34</v>
      </c>
      <c r="O31" s="40">
        <f t="shared" ref="O31:O40" si="4">M31/$M$136</f>
        <v>0.26072221686249503</v>
      </c>
    </row>
    <row r="32" spans="1:15" ht="15.95" customHeight="1" x14ac:dyDescent="0.2">
      <c r="A32" s="43" t="s">
        <v>39</v>
      </c>
      <c r="B32" s="31" t="s">
        <v>160</v>
      </c>
      <c r="C32" s="30">
        <v>4500</v>
      </c>
      <c r="D32" s="30"/>
      <c r="E32" s="30"/>
      <c r="F32" s="46">
        <v>11000</v>
      </c>
      <c r="G32" s="46"/>
      <c r="H32" s="30"/>
      <c r="I32" s="30"/>
      <c r="J32" s="46"/>
      <c r="K32" s="46"/>
      <c r="L32" s="30">
        <f>C32+D32-E32+F32-G32+H32-I32+J32-K32</f>
        <v>15500</v>
      </c>
      <c r="M32" s="30">
        <v>4500</v>
      </c>
      <c r="N32" s="30">
        <f t="shared" si="3"/>
        <v>11000</v>
      </c>
      <c r="O32" s="40">
        <f t="shared" si="4"/>
        <v>2.6562524570335226E-3</v>
      </c>
    </row>
    <row r="33" spans="1:15" ht="15.95" customHeight="1" x14ac:dyDescent="0.2">
      <c r="A33" s="43" t="s">
        <v>40</v>
      </c>
      <c r="B33" s="31" t="s">
        <v>161</v>
      </c>
      <c r="C33" s="30">
        <v>281100</v>
      </c>
      <c r="D33" s="30"/>
      <c r="E33" s="30"/>
      <c r="F33" s="46"/>
      <c r="G33" s="46"/>
      <c r="H33" s="30"/>
      <c r="I33" s="30"/>
      <c r="J33" s="46"/>
      <c r="K33" s="46"/>
      <c r="L33" s="30">
        <f t="shared" ref="L33:L40" si="5">C33+D33-E33+F33-G33+H33-I33+J33-K33</f>
        <v>281100</v>
      </c>
      <c r="M33" s="30">
        <v>150723.97</v>
      </c>
      <c r="N33" s="30">
        <f t="shared" si="3"/>
        <v>130376.03</v>
      </c>
      <c r="O33" s="40">
        <f t="shared" si="4"/>
        <v>8.8969092365854874E-2</v>
      </c>
    </row>
    <row r="34" spans="1:15" ht="15.95" customHeight="1" x14ac:dyDescent="0.2">
      <c r="A34" s="43" t="s">
        <v>41</v>
      </c>
      <c r="B34" s="31" t="s">
        <v>42</v>
      </c>
      <c r="C34" s="30">
        <v>17500</v>
      </c>
      <c r="D34" s="30"/>
      <c r="E34" s="30"/>
      <c r="F34" s="46"/>
      <c r="G34" s="46"/>
      <c r="H34" s="30"/>
      <c r="I34" s="30"/>
      <c r="J34" s="46"/>
      <c r="K34" s="46"/>
      <c r="L34" s="30">
        <f t="shared" si="5"/>
        <v>17500</v>
      </c>
      <c r="M34" s="30">
        <v>0</v>
      </c>
      <c r="N34" s="30">
        <f t="shared" si="3"/>
        <v>17500</v>
      </c>
      <c r="O34" s="40">
        <f t="shared" si="4"/>
        <v>0</v>
      </c>
    </row>
    <row r="35" spans="1:15" ht="15.95" customHeight="1" x14ac:dyDescent="0.2">
      <c r="A35" s="43" t="s">
        <v>43</v>
      </c>
      <c r="B35" s="31" t="s">
        <v>162</v>
      </c>
      <c r="C35" s="30">
        <v>34510.800000000003</v>
      </c>
      <c r="D35" s="30"/>
      <c r="E35" s="30"/>
      <c r="F35" s="46"/>
      <c r="G35" s="46"/>
      <c r="H35" s="30"/>
      <c r="I35" s="30"/>
      <c r="J35" s="46"/>
      <c r="K35" s="46"/>
      <c r="L35" s="30">
        <f t="shared" si="5"/>
        <v>34510.800000000003</v>
      </c>
      <c r="M35" s="30">
        <v>7079.65</v>
      </c>
      <c r="N35" s="30">
        <f t="shared" si="3"/>
        <v>27431.15</v>
      </c>
      <c r="O35" s="40">
        <f t="shared" si="4"/>
        <v>4.1789639349860842E-3</v>
      </c>
    </row>
    <row r="36" spans="1:15" ht="15.95" customHeight="1" x14ac:dyDescent="0.2">
      <c r="A36" s="43" t="s">
        <v>44</v>
      </c>
      <c r="B36" s="31" t="s">
        <v>163</v>
      </c>
      <c r="C36" s="30">
        <v>87401.15</v>
      </c>
      <c r="D36" s="30"/>
      <c r="E36" s="30"/>
      <c r="F36" s="46"/>
      <c r="G36" s="46"/>
      <c r="H36" s="30"/>
      <c r="I36" s="30"/>
      <c r="J36" s="46"/>
      <c r="K36" s="46"/>
      <c r="L36" s="30">
        <f t="shared" si="5"/>
        <v>87401.15</v>
      </c>
      <c r="M36" s="30">
        <v>48280.92</v>
      </c>
      <c r="N36" s="30">
        <f t="shared" si="3"/>
        <v>39120.229999999996</v>
      </c>
      <c r="O36" s="40">
        <f t="shared" si="4"/>
        <v>2.8499180528408653E-2</v>
      </c>
    </row>
    <row r="37" spans="1:15" ht="15.95" customHeight="1" x14ac:dyDescent="0.2">
      <c r="A37" s="43" t="s">
        <v>45</v>
      </c>
      <c r="B37" s="31" t="s">
        <v>164</v>
      </c>
      <c r="C37" s="30">
        <v>8190.84</v>
      </c>
      <c r="D37" s="30"/>
      <c r="E37" s="30"/>
      <c r="F37" s="46"/>
      <c r="G37" s="46"/>
      <c r="H37" s="30"/>
      <c r="I37" s="30"/>
      <c r="J37" s="46"/>
      <c r="K37" s="46"/>
      <c r="L37" s="30">
        <f t="shared" si="5"/>
        <v>8190.84</v>
      </c>
      <c r="M37" s="30">
        <v>4524.93</v>
      </c>
      <c r="N37" s="30">
        <f t="shared" si="3"/>
        <v>3665.91</v>
      </c>
      <c r="O37" s="40">
        <f t="shared" si="4"/>
        <v>2.6709680956454886E-3</v>
      </c>
    </row>
    <row r="38" spans="1:15" ht="15.95" customHeight="1" x14ac:dyDescent="0.2">
      <c r="A38" s="43" t="s">
        <v>46</v>
      </c>
      <c r="B38" s="31" t="s">
        <v>47</v>
      </c>
      <c r="C38" s="30">
        <v>67581.009999999995</v>
      </c>
      <c r="D38" s="30"/>
      <c r="E38" s="30"/>
      <c r="F38" s="46">
        <v>3000</v>
      </c>
      <c r="G38" s="46"/>
      <c r="H38" s="30"/>
      <c r="I38" s="30"/>
      <c r="J38" s="46"/>
      <c r="K38" s="46"/>
      <c r="L38" s="30">
        <f t="shared" si="5"/>
        <v>70581.009999999995</v>
      </c>
      <c r="M38" s="30">
        <v>7930.9</v>
      </c>
      <c r="N38" s="30">
        <f t="shared" si="3"/>
        <v>62650.109999999993</v>
      </c>
      <c r="O38" s="40">
        <f t="shared" si="4"/>
        <v>4.6814383581082588E-3</v>
      </c>
    </row>
    <row r="39" spans="1:15" ht="15.95" customHeight="1" x14ac:dyDescent="0.2">
      <c r="A39" s="43" t="s">
        <v>48</v>
      </c>
      <c r="B39" s="31" t="s">
        <v>165</v>
      </c>
      <c r="C39" s="30">
        <v>67581.009999999995</v>
      </c>
      <c r="D39" s="30"/>
      <c r="E39" s="30"/>
      <c r="F39" s="46">
        <v>3000</v>
      </c>
      <c r="G39" s="46"/>
      <c r="H39" s="30"/>
      <c r="I39" s="30"/>
      <c r="J39" s="46"/>
      <c r="K39" s="46"/>
      <c r="L39" s="30">
        <f t="shared" si="5"/>
        <v>70581.009999999995</v>
      </c>
      <c r="M39" s="30">
        <v>65786.990000000005</v>
      </c>
      <c r="N39" s="30">
        <f t="shared" si="3"/>
        <v>4794.0199999999895</v>
      </c>
      <c r="O39" s="40">
        <f t="shared" si="4"/>
        <v>3.883263418407551E-2</v>
      </c>
    </row>
    <row r="40" spans="1:15" ht="15.95" customHeight="1" x14ac:dyDescent="0.2">
      <c r="A40" s="43" t="s">
        <v>49</v>
      </c>
      <c r="B40" s="31" t="s">
        <v>50</v>
      </c>
      <c r="C40" s="30">
        <v>4400</v>
      </c>
      <c r="D40" s="30"/>
      <c r="E40" s="30"/>
      <c r="F40" s="46"/>
      <c r="G40" s="46"/>
      <c r="H40" s="30"/>
      <c r="I40" s="30"/>
      <c r="J40" s="46"/>
      <c r="K40" s="46"/>
      <c r="L40" s="30">
        <f t="shared" si="5"/>
        <v>4400</v>
      </c>
      <c r="M40" s="30">
        <v>99.73</v>
      </c>
      <c r="N40" s="30">
        <f t="shared" si="3"/>
        <v>4300.2700000000004</v>
      </c>
      <c r="O40" s="40">
        <f t="shared" si="4"/>
        <v>5.8868457231100718E-5</v>
      </c>
    </row>
    <row r="41" spans="1:15" ht="15.95" customHeight="1" x14ac:dyDescent="0.2">
      <c r="A41" s="43"/>
      <c r="B41" s="31"/>
      <c r="C41" s="30"/>
      <c r="D41" s="30"/>
      <c r="E41" s="30"/>
      <c r="F41" s="46"/>
      <c r="G41" s="46"/>
      <c r="H41" s="30"/>
      <c r="I41" s="30"/>
      <c r="J41" s="46"/>
      <c r="K41" s="46"/>
      <c r="L41" s="30"/>
      <c r="M41" s="30"/>
      <c r="N41" s="30"/>
      <c r="O41" s="40"/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5">
      <c r="A43" s="41">
        <v>1</v>
      </c>
      <c r="B43" s="42" t="s">
        <v>51</v>
      </c>
      <c r="C43" s="28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">
      <c r="A44" s="43" t="s">
        <v>96</v>
      </c>
      <c r="B44" s="31" t="s">
        <v>52</v>
      </c>
      <c r="C44" s="30">
        <v>13750</v>
      </c>
      <c r="D44" s="30"/>
      <c r="E44" s="30"/>
      <c r="F44" s="46"/>
      <c r="G44" s="46"/>
      <c r="H44" s="30"/>
      <c r="I44" s="30"/>
      <c r="J44" s="46"/>
      <c r="K44" s="46"/>
      <c r="L44" s="30">
        <f t="shared" ref="L44:L77" si="6">C44+D44-E44+F44-G44+H44-I44+J44-K44</f>
        <v>13750</v>
      </c>
      <c r="M44" s="30">
        <v>3371.94</v>
      </c>
      <c r="N44" s="30">
        <f t="shared" si="3"/>
        <v>10378.06</v>
      </c>
      <c r="O44" s="40">
        <f t="shared" ref="O44:O59" si="7">M44/$M$136</f>
        <v>1.9903830911043594E-3</v>
      </c>
    </row>
    <row r="45" spans="1:15" ht="15.95" customHeight="1" x14ac:dyDescent="0.2">
      <c r="A45" s="43" t="s">
        <v>97</v>
      </c>
      <c r="B45" s="31" t="s">
        <v>53</v>
      </c>
      <c r="C45" s="30">
        <v>26100</v>
      </c>
      <c r="D45" s="30"/>
      <c r="E45" s="30"/>
      <c r="F45" s="46"/>
      <c r="G45" s="46"/>
      <c r="H45" s="30"/>
      <c r="I45" s="30"/>
      <c r="J45" s="46"/>
      <c r="K45" s="46"/>
      <c r="L45" s="30">
        <f t="shared" si="6"/>
        <v>26100</v>
      </c>
      <c r="M45" s="30">
        <v>12562.45</v>
      </c>
      <c r="N45" s="30">
        <f t="shared" si="3"/>
        <v>13537.55</v>
      </c>
      <c r="O45" s="40">
        <f t="shared" si="7"/>
        <v>7.4153419286357289E-3</v>
      </c>
    </row>
    <row r="46" spans="1:15" ht="15.95" customHeight="1" x14ac:dyDescent="0.2">
      <c r="A46" s="43" t="s">
        <v>98</v>
      </c>
      <c r="B46" s="31" t="s">
        <v>54</v>
      </c>
      <c r="C46" s="30">
        <v>2000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2000</v>
      </c>
      <c r="M46" s="30">
        <v>135</v>
      </c>
      <c r="N46" s="30">
        <f t="shared" si="3"/>
        <v>1865</v>
      </c>
      <c r="O46" s="40">
        <f t="shared" si="7"/>
        <v>7.9687573711005675E-5</v>
      </c>
    </row>
    <row r="47" spans="1:15" ht="15.95" customHeight="1" x14ac:dyDescent="0.2">
      <c r="A47" s="43" t="s">
        <v>99</v>
      </c>
      <c r="B47" s="31" t="s">
        <v>166</v>
      </c>
      <c r="C47" s="30">
        <v>8000</v>
      </c>
      <c r="D47" s="30"/>
      <c r="E47" s="30"/>
      <c r="F47" s="46">
        <v>5000</v>
      </c>
      <c r="G47" s="46"/>
      <c r="H47" s="30"/>
      <c r="I47" s="30"/>
      <c r="J47" s="46"/>
      <c r="K47" s="46"/>
      <c r="L47" s="30">
        <f t="shared" si="6"/>
        <v>13000</v>
      </c>
      <c r="M47" s="30">
        <v>5119.6099999999997</v>
      </c>
      <c r="N47" s="30">
        <f t="shared" si="3"/>
        <v>7880.39</v>
      </c>
      <c r="O47" s="40">
        <f t="shared" si="7"/>
        <v>3.0219948092340869E-3</v>
      </c>
    </row>
    <row r="48" spans="1:15" ht="15.95" customHeight="1" x14ac:dyDescent="0.2">
      <c r="A48" s="43" t="s">
        <v>100</v>
      </c>
      <c r="B48" s="31" t="s">
        <v>167</v>
      </c>
      <c r="C48" s="30">
        <v>14250</v>
      </c>
      <c r="D48" s="30"/>
      <c r="E48" s="30"/>
      <c r="F48" s="46">
        <v>1225</v>
      </c>
      <c r="G48" s="46">
        <v>1325</v>
      </c>
      <c r="H48" s="30"/>
      <c r="I48" s="30"/>
      <c r="J48" s="46"/>
      <c r="K48" s="46"/>
      <c r="L48" s="30">
        <f>C48+D48-E48+F48-G48+H48-I48+J48-K48</f>
        <v>14150</v>
      </c>
      <c r="M48" s="30">
        <v>494.75</v>
      </c>
      <c r="N48" s="30">
        <f t="shared" si="3"/>
        <v>13655.25</v>
      </c>
      <c r="O48" s="40">
        <f t="shared" si="7"/>
        <v>2.9204020069274121E-4</v>
      </c>
    </row>
    <row r="49" spans="1:15" ht="15.95" customHeight="1" x14ac:dyDescent="0.2">
      <c r="A49" s="43" t="s">
        <v>101</v>
      </c>
      <c r="B49" s="31" t="s">
        <v>168</v>
      </c>
      <c r="C49" s="30">
        <v>1176868.53</v>
      </c>
      <c r="D49" s="30"/>
      <c r="E49" s="30">
        <v>129000</v>
      </c>
      <c r="F49" s="46"/>
      <c r="G49" s="46">
        <v>675646</v>
      </c>
      <c r="H49" s="30"/>
      <c r="I49" s="30"/>
      <c r="J49" s="46"/>
      <c r="K49" s="46"/>
      <c r="L49" s="30">
        <f t="shared" si="6"/>
        <v>372222.53</v>
      </c>
      <c r="M49" s="30">
        <v>242364.35</v>
      </c>
      <c r="N49" s="30">
        <f t="shared" si="3"/>
        <v>129858.18000000002</v>
      </c>
      <c r="O49" s="40">
        <f t="shared" si="7"/>
        <v>0.14306242226329616</v>
      </c>
    </row>
    <row r="50" spans="1:15" ht="15.95" customHeight="1" x14ac:dyDescent="0.2">
      <c r="A50" s="43" t="s">
        <v>102</v>
      </c>
      <c r="B50" s="31" t="s">
        <v>55</v>
      </c>
      <c r="C50" s="30">
        <v>619609.80000000005</v>
      </c>
      <c r="D50" s="30"/>
      <c r="E50" s="30"/>
      <c r="F50" s="46"/>
      <c r="G50" s="46">
        <v>452038.22</v>
      </c>
      <c r="H50" s="30"/>
      <c r="I50" s="30"/>
      <c r="J50" s="46"/>
      <c r="K50" s="46"/>
      <c r="L50" s="30">
        <f t="shared" si="6"/>
        <v>167571.58000000007</v>
      </c>
      <c r="M50" s="30">
        <v>77764.509999999995</v>
      </c>
      <c r="N50" s="30">
        <f t="shared" si="3"/>
        <v>89807.07000000008</v>
      </c>
      <c r="O50" s="40">
        <f t="shared" si="7"/>
        <v>4.5902704612779538E-2</v>
      </c>
    </row>
    <row r="51" spans="1:15" ht="15.95" customHeight="1" x14ac:dyDescent="0.2">
      <c r="A51" s="43" t="s">
        <v>103</v>
      </c>
      <c r="B51" s="31" t="s">
        <v>169</v>
      </c>
      <c r="C51" s="30">
        <v>504047.6</v>
      </c>
      <c r="D51" s="30"/>
      <c r="E51" s="30"/>
      <c r="F51" s="46"/>
      <c r="G51" s="46">
        <v>287247.59999999998</v>
      </c>
      <c r="H51" s="30"/>
      <c r="I51" s="30"/>
      <c r="J51" s="46"/>
      <c r="K51" s="46"/>
      <c r="L51" s="30">
        <f t="shared" si="6"/>
        <v>216800</v>
      </c>
      <c r="M51" s="30">
        <v>161379.76</v>
      </c>
      <c r="N51" s="30">
        <f t="shared" si="3"/>
        <v>55420.239999999991</v>
      </c>
      <c r="O51" s="40">
        <f t="shared" si="7"/>
        <v>9.5258974225662277E-2</v>
      </c>
    </row>
    <row r="52" spans="1:15" ht="15.95" customHeight="1" x14ac:dyDescent="0.2">
      <c r="A52" s="43" t="s">
        <v>104</v>
      </c>
      <c r="B52" s="31" t="s">
        <v>56</v>
      </c>
      <c r="C52" s="30">
        <v>20750</v>
      </c>
      <c r="D52" s="30"/>
      <c r="E52" s="30"/>
      <c r="F52" s="46">
        <v>8000</v>
      </c>
      <c r="G52" s="46"/>
      <c r="H52" s="30"/>
      <c r="I52" s="30"/>
      <c r="J52" s="46"/>
      <c r="K52" s="46"/>
      <c r="L52" s="30">
        <f t="shared" si="6"/>
        <v>28750</v>
      </c>
      <c r="M52" s="30">
        <v>7670.83</v>
      </c>
      <c r="N52" s="30">
        <f t="shared" si="3"/>
        <v>21079.17</v>
      </c>
      <c r="O52" s="40">
        <f t="shared" si="7"/>
        <v>4.527924674441435E-3</v>
      </c>
    </row>
    <row r="53" spans="1:15" ht="15.95" customHeight="1" x14ac:dyDescent="0.2">
      <c r="A53" s="43" t="s">
        <v>105</v>
      </c>
      <c r="B53" s="31" t="s">
        <v>57</v>
      </c>
      <c r="C53" s="30">
        <v>42500</v>
      </c>
      <c r="D53" s="30"/>
      <c r="E53" s="30"/>
      <c r="F53" s="46">
        <v>42500</v>
      </c>
      <c r="G53" s="46"/>
      <c r="H53" s="30"/>
      <c r="I53" s="30"/>
      <c r="J53" s="46"/>
      <c r="K53" s="46"/>
      <c r="L53" s="30">
        <f t="shared" si="6"/>
        <v>85000</v>
      </c>
      <c r="M53" s="30">
        <v>4900</v>
      </c>
      <c r="N53" s="30">
        <f t="shared" si="3"/>
        <v>80100</v>
      </c>
      <c r="O53" s="40">
        <f t="shared" si="7"/>
        <v>2.8923637865476137E-3</v>
      </c>
    </row>
    <row r="54" spans="1:15" ht="15.95" customHeight="1" x14ac:dyDescent="0.2">
      <c r="A54" s="43" t="s">
        <v>106</v>
      </c>
      <c r="B54" s="31" t="s">
        <v>58</v>
      </c>
      <c r="C54" s="30">
        <v>4400</v>
      </c>
      <c r="D54" s="30"/>
      <c r="E54" s="30"/>
      <c r="F54" s="46"/>
      <c r="G54" s="46"/>
      <c r="H54" s="30"/>
      <c r="I54" s="30"/>
      <c r="J54" s="46"/>
      <c r="K54" s="46"/>
      <c r="L54" s="30">
        <f t="shared" si="6"/>
        <v>4400</v>
      </c>
      <c r="M54" s="30">
        <v>1620</v>
      </c>
      <c r="N54" s="30">
        <f t="shared" si="3"/>
        <v>2780</v>
      </c>
      <c r="O54" s="40">
        <f t="shared" si="7"/>
        <v>9.562508845320681E-4</v>
      </c>
    </row>
    <row r="55" spans="1:15" ht="15.95" customHeight="1" x14ac:dyDescent="0.2">
      <c r="A55" s="43" t="s">
        <v>107</v>
      </c>
      <c r="B55" s="31" t="s">
        <v>170</v>
      </c>
      <c r="C55" s="30">
        <v>3004.32</v>
      </c>
      <c r="D55" s="30"/>
      <c r="E55" s="30"/>
      <c r="F55" s="46"/>
      <c r="G55" s="46"/>
      <c r="H55" s="30"/>
      <c r="I55" s="30"/>
      <c r="J55" s="46"/>
      <c r="K55" s="46"/>
      <c r="L55" s="30">
        <f t="shared" si="6"/>
        <v>3004.32</v>
      </c>
      <c r="M55" s="30">
        <v>630</v>
      </c>
      <c r="N55" s="30">
        <f t="shared" si="3"/>
        <v>2374.3200000000002</v>
      </c>
      <c r="O55" s="40">
        <f t="shared" si="7"/>
        <v>3.7187534398469319E-4</v>
      </c>
    </row>
    <row r="56" spans="1:15" ht="15.95" customHeight="1" x14ac:dyDescent="0.2">
      <c r="A56" s="43" t="s">
        <v>108</v>
      </c>
      <c r="B56" s="31" t="s">
        <v>171</v>
      </c>
      <c r="C56" s="30">
        <v>7750</v>
      </c>
      <c r="D56" s="30"/>
      <c r="E56" s="30"/>
      <c r="F56" s="46">
        <v>20000</v>
      </c>
      <c r="G56" s="46"/>
      <c r="H56" s="30"/>
      <c r="I56" s="30"/>
      <c r="J56" s="46"/>
      <c r="K56" s="46"/>
      <c r="L56" s="30">
        <f t="shared" si="6"/>
        <v>27750</v>
      </c>
      <c r="M56" s="30">
        <v>0</v>
      </c>
      <c r="N56" s="30">
        <f t="shared" si="3"/>
        <v>27750</v>
      </c>
      <c r="O56" s="40">
        <f t="shared" si="7"/>
        <v>0</v>
      </c>
    </row>
    <row r="57" spans="1:15" ht="15.95" customHeight="1" x14ac:dyDescent="0.2">
      <c r="A57" s="43" t="s">
        <v>109</v>
      </c>
      <c r="B57" s="31" t="s">
        <v>172</v>
      </c>
      <c r="C57" s="30">
        <v>7000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7000</v>
      </c>
      <c r="M57" s="30">
        <v>263.2</v>
      </c>
      <c r="N57" s="30">
        <f t="shared" si="3"/>
        <v>6736.8</v>
      </c>
      <c r="O57" s="40">
        <f t="shared" si="7"/>
        <v>1.5536125482027181E-4</v>
      </c>
    </row>
    <row r="58" spans="1:15" ht="15.95" customHeight="1" x14ac:dyDescent="0.2">
      <c r="A58" s="43" t="s">
        <v>110</v>
      </c>
      <c r="B58" s="31" t="s">
        <v>173</v>
      </c>
      <c r="C58" s="30">
        <v>4000</v>
      </c>
      <c r="D58" s="30"/>
      <c r="E58" s="30"/>
      <c r="F58" s="46">
        <v>3000</v>
      </c>
      <c r="G58" s="46"/>
      <c r="H58" s="30"/>
      <c r="I58" s="30"/>
      <c r="J58" s="46"/>
      <c r="K58" s="46"/>
      <c r="L58" s="30">
        <f t="shared" si="6"/>
        <v>7000</v>
      </c>
      <c r="M58" s="30">
        <v>1335</v>
      </c>
      <c r="N58" s="30">
        <f t="shared" si="3"/>
        <v>5665</v>
      </c>
      <c r="O58" s="40">
        <f t="shared" si="7"/>
        <v>7.8802156225327841E-4</v>
      </c>
    </row>
    <row r="59" spans="1:15" ht="15.95" hidden="1" customHeight="1" x14ac:dyDescent="0.2">
      <c r="A59" s="43" t="s">
        <v>111</v>
      </c>
      <c r="B59" s="31" t="s">
        <v>174</v>
      </c>
      <c r="C59" s="30"/>
      <c r="D59" s="30"/>
      <c r="E59" s="30"/>
      <c r="F59" s="46"/>
      <c r="G59" s="46"/>
      <c r="H59" s="30"/>
      <c r="I59" s="30"/>
      <c r="J59" s="46"/>
      <c r="K59" s="46"/>
      <c r="L59" s="30">
        <f t="shared" si="6"/>
        <v>0</v>
      </c>
      <c r="M59" s="30">
        <v>0</v>
      </c>
      <c r="N59" s="30">
        <f t="shared" si="3"/>
        <v>0</v>
      </c>
      <c r="O59" s="40">
        <f t="shared" si="7"/>
        <v>0</v>
      </c>
    </row>
    <row r="60" spans="1:15" ht="15.95" customHeight="1" x14ac:dyDescent="0.2">
      <c r="A60" s="43">
        <v>169</v>
      </c>
      <c r="B60" s="31" t="s">
        <v>271</v>
      </c>
      <c r="C60" s="30"/>
      <c r="D60" s="30"/>
      <c r="E60" s="30"/>
      <c r="F60" s="46">
        <v>10000</v>
      </c>
      <c r="G60" s="46"/>
      <c r="H60" s="30"/>
      <c r="I60" s="30"/>
      <c r="J60" s="46"/>
      <c r="K60" s="46"/>
      <c r="L60" s="30">
        <f t="shared" si="6"/>
        <v>10000</v>
      </c>
      <c r="M60" s="30"/>
      <c r="N60" s="30">
        <f t="shared" si="3"/>
        <v>10000</v>
      </c>
      <c r="O60" s="40"/>
    </row>
    <row r="61" spans="1:15" ht="15.95" customHeight="1" x14ac:dyDescent="0.2">
      <c r="A61" s="43">
        <v>171</v>
      </c>
      <c r="B61" s="31" t="s">
        <v>174</v>
      </c>
      <c r="C61" s="30"/>
      <c r="D61" s="30"/>
      <c r="E61" s="30"/>
      <c r="F61" s="46">
        <v>225000</v>
      </c>
      <c r="G61" s="46"/>
      <c r="H61" s="30"/>
      <c r="I61" s="30"/>
      <c r="J61" s="46"/>
      <c r="K61" s="46"/>
      <c r="L61" s="30">
        <f t="shared" si="6"/>
        <v>225000</v>
      </c>
      <c r="M61" s="30"/>
      <c r="N61" s="30">
        <f t="shared" si="3"/>
        <v>225000</v>
      </c>
      <c r="O61" s="40"/>
    </row>
    <row r="62" spans="1:15" ht="15.95" customHeight="1" x14ac:dyDescent="0.2">
      <c r="A62" s="43" t="s">
        <v>112</v>
      </c>
      <c r="B62" s="31" t="s">
        <v>175</v>
      </c>
      <c r="C62" s="30">
        <v>9750</v>
      </c>
      <c r="D62" s="30"/>
      <c r="E62" s="30"/>
      <c r="F62" s="46">
        <v>25000</v>
      </c>
      <c r="G62" s="46"/>
      <c r="H62" s="30"/>
      <c r="I62" s="30"/>
      <c r="J62" s="46"/>
      <c r="K62" s="46"/>
      <c r="L62" s="30">
        <f t="shared" si="6"/>
        <v>34750</v>
      </c>
      <c r="M62" s="30">
        <v>0</v>
      </c>
      <c r="N62" s="30">
        <f t="shared" si="3"/>
        <v>34750</v>
      </c>
      <c r="O62" s="40">
        <f t="shared" ref="O62:O77" si="8">M62/$M$136</f>
        <v>0</v>
      </c>
    </row>
    <row r="63" spans="1:15" ht="15.95" customHeight="1" x14ac:dyDescent="0.2">
      <c r="A63" s="43" t="s">
        <v>113</v>
      </c>
      <c r="B63" s="31" t="s">
        <v>176</v>
      </c>
      <c r="C63" s="30">
        <v>260706.83</v>
      </c>
      <c r="D63" s="30"/>
      <c r="E63" s="30"/>
      <c r="F63" s="46"/>
      <c r="G63" s="46"/>
      <c r="H63" s="30"/>
      <c r="I63" s="30"/>
      <c r="J63" s="46"/>
      <c r="K63" s="46"/>
      <c r="L63" s="30">
        <f t="shared" si="6"/>
        <v>260706.83</v>
      </c>
      <c r="M63" s="30">
        <v>0</v>
      </c>
      <c r="N63" s="30">
        <f t="shared" si="3"/>
        <v>260706.83</v>
      </c>
      <c r="O63" s="40">
        <f t="shared" si="8"/>
        <v>0</v>
      </c>
    </row>
    <row r="64" spans="1:15" ht="15.95" customHeight="1" x14ac:dyDescent="0.2">
      <c r="A64" s="43">
        <v>182</v>
      </c>
      <c r="B64" s="31" t="s">
        <v>255</v>
      </c>
      <c r="C64" s="30">
        <v>0</v>
      </c>
      <c r="D64" s="30">
        <v>2500</v>
      </c>
      <c r="E64" s="30"/>
      <c r="F64" s="46"/>
      <c r="G64" s="46"/>
      <c r="H64" s="30"/>
      <c r="I64" s="30"/>
      <c r="J64" s="46"/>
      <c r="K64" s="46"/>
      <c r="L64" s="30">
        <f t="shared" si="6"/>
        <v>2500</v>
      </c>
      <c r="M64" s="30">
        <v>0</v>
      </c>
      <c r="N64" s="30">
        <f t="shared" si="3"/>
        <v>2500</v>
      </c>
      <c r="O64" s="40">
        <f t="shared" si="8"/>
        <v>0</v>
      </c>
    </row>
    <row r="65" spans="1:15" ht="15.95" customHeight="1" x14ac:dyDescent="0.2">
      <c r="A65" s="43" t="s">
        <v>114</v>
      </c>
      <c r="B65" s="31" t="s">
        <v>177</v>
      </c>
      <c r="C65" s="30">
        <v>15000</v>
      </c>
      <c r="D65" s="30">
        <v>12000</v>
      </c>
      <c r="E65" s="30"/>
      <c r="F65" s="46"/>
      <c r="G65" s="46"/>
      <c r="H65" s="30"/>
      <c r="I65" s="30"/>
      <c r="J65" s="46"/>
      <c r="K65" s="46"/>
      <c r="L65" s="30">
        <f t="shared" si="6"/>
        <v>27000</v>
      </c>
      <c r="M65" s="30">
        <v>5350</v>
      </c>
      <c r="N65" s="30">
        <f t="shared" si="3"/>
        <v>21650</v>
      </c>
      <c r="O65" s="40">
        <f t="shared" si="8"/>
        <v>3.1579890322509657E-3</v>
      </c>
    </row>
    <row r="66" spans="1:15" ht="15.95" customHeight="1" x14ac:dyDescent="0.2">
      <c r="A66" s="43" t="s">
        <v>115</v>
      </c>
      <c r="B66" s="31" t="s">
        <v>178</v>
      </c>
      <c r="C66" s="30">
        <v>54000</v>
      </c>
      <c r="D66" s="30"/>
      <c r="E66" s="30"/>
      <c r="F66" s="46"/>
      <c r="G66" s="46"/>
      <c r="H66" s="30"/>
      <c r="I66" s="30"/>
      <c r="J66" s="46"/>
      <c r="K66" s="46"/>
      <c r="L66" s="30">
        <f t="shared" si="6"/>
        <v>54000</v>
      </c>
      <c r="M66" s="30">
        <v>31500</v>
      </c>
      <c r="N66" s="30">
        <f t="shared" si="3"/>
        <v>22500</v>
      </c>
      <c r="O66" s="40">
        <f t="shared" si="8"/>
        <v>1.8593767199234657E-2</v>
      </c>
    </row>
    <row r="67" spans="1:15" ht="15.95" customHeight="1" x14ac:dyDescent="0.2">
      <c r="A67" s="43" t="s">
        <v>116</v>
      </c>
      <c r="B67" s="31" t="s">
        <v>59</v>
      </c>
      <c r="C67" s="30">
        <v>7500</v>
      </c>
      <c r="D67" s="30"/>
      <c r="E67" s="30"/>
      <c r="F67" s="46"/>
      <c r="G67" s="46"/>
      <c r="H67" s="30"/>
      <c r="I67" s="30"/>
      <c r="J67" s="46"/>
      <c r="K67" s="46"/>
      <c r="L67" s="30">
        <f t="shared" si="6"/>
        <v>7500</v>
      </c>
      <c r="M67" s="30">
        <v>500</v>
      </c>
      <c r="N67" s="30">
        <f t="shared" si="3"/>
        <v>7000</v>
      </c>
      <c r="O67" s="40">
        <f t="shared" si="8"/>
        <v>2.9513916189261361E-4</v>
      </c>
    </row>
    <row r="68" spans="1:15" ht="15.95" customHeight="1" x14ac:dyDescent="0.2">
      <c r="A68" s="43" t="s">
        <v>117</v>
      </c>
      <c r="B68" s="31" t="s">
        <v>179</v>
      </c>
      <c r="C68" s="30">
        <v>24540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24540</v>
      </c>
      <c r="M68" s="30">
        <v>11142</v>
      </c>
      <c r="N68" s="30">
        <f t="shared" si="3"/>
        <v>13398</v>
      </c>
      <c r="O68" s="40">
        <f t="shared" si="8"/>
        <v>6.5768810836150018E-3</v>
      </c>
    </row>
    <row r="69" spans="1:15" ht="15.95" customHeight="1" x14ac:dyDescent="0.2">
      <c r="A69" s="43" t="s">
        <v>118</v>
      </c>
      <c r="B69" s="31" t="s">
        <v>180</v>
      </c>
      <c r="C69" s="30">
        <v>8000</v>
      </c>
      <c r="D69" s="30"/>
      <c r="E69" s="30"/>
      <c r="F69" s="46">
        <v>1836</v>
      </c>
      <c r="G69" s="46">
        <v>4400</v>
      </c>
      <c r="H69" s="30"/>
      <c r="I69" s="30"/>
      <c r="J69" s="46"/>
      <c r="K69" s="46"/>
      <c r="L69" s="30">
        <f t="shared" si="6"/>
        <v>5436</v>
      </c>
      <c r="M69" s="30">
        <v>3200</v>
      </c>
      <c r="N69" s="30">
        <f t="shared" si="3"/>
        <v>2236</v>
      </c>
      <c r="O69" s="40">
        <f t="shared" si="8"/>
        <v>1.8888906361127272E-3</v>
      </c>
    </row>
    <row r="70" spans="1:15" ht="15.95" customHeight="1" x14ac:dyDescent="0.2">
      <c r="A70" s="43" t="s">
        <v>119</v>
      </c>
      <c r="B70" s="31" t="s">
        <v>181</v>
      </c>
      <c r="C70" s="30">
        <v>8000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8000</v>
      </c>
      <c r="M70" s="30">
        <v>0</v>
      </c>
      <c r="N70" s="30">
        <f t="shared" si="3"/>
        <v>8000</v>
      </c>
      <c r="O70" s="40">
        <f t="shared" si="8"/>
        <v>0</v>
      </c>
    </row>
    <row r="71" spans="1:15" ht="15.95" customHeight="1" x14ac:dyDescent="0.2">
      <c r="A71" s="43" t="s">
        <v>120</v>
      </c>
      <c r="B71" s="31" t="s">
        <v>60</v>
      </c>
      <c r="C71" s="30">
        <v>225800</v>
      </c>
      <c r="D71" s="30">
        <v>17000</v>
      </c>
      <c r="E71" s="30"/>
      <c r="F71" s="46"/>
      <c r="G71" s="46">
        <v>1300</v>
      </c>
      <c r="H71" s="30"/>
      <c r="I71" s="30"/>
      <c r="J71" s="46"/>
      <c r="K71" s="46"/>
      <c r="L71" s="30">
        <f t="shared" si="6"/>
        <v>241500</v>
      </c>
      <c r="M71" s="30">
        <v>141615</v>
      </c>
      <c r="N71" s="30">
        <f t="shared" si="3"/>
        <v>99885</v>
      </c>
      <c r="O71" s="40">
        <f t="shared" si="8"/>
        <v>8.3592264822844958E-2</v>
      </c>
    </row>
    <row r="72" spans="1:15" ht="15.95" customHeight="1" x14ac:dyDescent="0.2">
      <c r="A72" s="43" t="s">
        <v>121</v>
      </c>
      <c r="B72" s="31" t="s">
        <v>182</v>
      </c>
      <c r="C72" s="30">
        <v>8250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8250</v>
      </c>
      <c r="M72" s="30">
        <v>0</v>
      </c>
      <c r="N72" s="30">
        <f t="shared" si="3"/>
        <v>8250</v>
      </c>
      <c r="O72" s="40">
        <f t="shared" si="8"/>
        <v>0</v>
      </c>
    </row>
    <row r="73" spans="1:15" ht="15.95" customHeight="1" x14ac:dyDescent="0.2">
      <c r="A73" s="43" t="s">
        <v>122</v>
      </c>
      <c r="B73" s="31" t="s">
        <v>183</v>
      </c>
      <c r="C73" s="30">
        <v>2500</v>
      </c>
      <c r="D73" s="30"/>
      <c r="E73" s="30"/>
      <c r="F73" s="46"/>
      <c r="G73" s="46"/>
      <c r="H73" s="30"/>
      <c r="I73" s="30"/>
      <c r="J73" s="46"/>
      <c r="K73" s="46"/>
      <c r="L73" s="30">
        <f t="shared" si="6"/>
        <v>2500</v>
      </c>
      <c r="M73" s="30">
        <v>1129.8399999999999</v>
      </c>
      <c r="N73" s="30">
        <f t="shared" si="3"/>
        <v>1370.16</v>
      </c>
      <c r="O73" s="40">
        <f t="shared" si="8"/>
        <v>6.6692006134550115E-4</v>
      </c>
    </row>
    <row r="74" spans="1:15" ht="15.95" customHeight="1" x14ac:dyDescent="0.2">
      <c r="A74" s="43" t="s">
        <v>123</v>
      </c>
      <c r="B74" s="31" t="s">
        <v>61</v>
      </c>
      <c r="C74" s="30">
        <v>7000</v>
      </c>
      <c r="D74" s="30"/>
      <c r="E74" s="30"/>
      <c r="F74" s="46">
        <v>50000</v>
      </c>
      <c r="G74" s="46"/>
      <c r="H74" s="30"/>
      <c r="I74" s="30"/>
      <c r="J74" s="46"/>
      <c r="K74" s="46"/>
      <c r="L74" s="30">
        <f t="shared" si="6"/>
        <v>57000</v>
      </c>
      <c r="M74" s="30">
        <v>569.61</v>
      </c>
      <c r="N74" s="30">
        <f t="shared" si="3"/>
        <v>56430.39</v>
      </c>
      <c r="O74" s="40">
        <f t="shared" si="8"/>
        <v>3.3622843601130328E-4</v>
      </c>
    </row>
    <row r="75" spans="1:15" ht="15.95" customHeight="1" x14ac:dyDescent="0.2">
      <c r="A75" s="43" t="s">
        <v>124</v>
      </c>
      <c r="B75" s="31" t="s">
        <v>184</v>
      </c>
      <c r="C75" s="30">
        <v>2000</v>
      </c>
      <c r="D75" s="30"/>
      <c r="E75" s="30"/>
      <c r="F75" s="46"/>
      <c r="G75" s="46"/>
      <c r="H75" s="30"/>
      <c r="I75" s="30"/>
      <c r="J75" s="46"/>
      <c r="K75" s="46"/>
      <c r="L75" s="30">
        <f t="shared" si="6"/>
        <v>2000</v>
      </c>
      <c r="M75" s="30">
        <v>0</v>
      </c>
      <c r="N75" s="30">
        <f t="shared" si="3"/>
        <v>2000</v>
      </c>
      <c r="O75" s="40">
        <f t="shared" si="8"/>
        <v>0</v>
      </c>
    </row>
    <row r="76" spans="1:15" ht="15.95" customHeight="1" x14ac:dyDescent="0.2">
      <c r="A76" s="43" t="s">
        <v>185</v>
      </c>
      <c r="B76" s="31" t="s">
        <v>157</v>
      </c>
      <c r="C76" s="30">
        <v>89500</v>
      </c>
      <c r="D76" s="30"/>
      <c r="E76" s="30"/>
      <c r="F76" s="46"/>
      <c r="G76" s="46"/>
      <c r="H76" s="30"/>
      <c r="I76" s="30"/>
      <c r="J76" s="46"/>
      <c r="K76" s="46"/>
      <c r="L76" s="30">
        <f t="shared" si="6"/>
        <v>89500</v>
      </c>
      <c r="M76" s="30">
        <v>14925</v>
      </c>
      <c r="N76" s="30">
        <f t="shared" si="3"/>
        <v>74575</v>
      </c>
      <c r="O76" s="40">
        <f t="shared" si="8"/>
        <v>8.8099039824945172E-3</v>
      </c>
    </row>
    <row r="77" spans="1:15" ht="15.95" customHeight="1" x14ac:dyDescent="0.2">
      <c r="A77" s="43" t="s">
        <v>125</v>
      </c>
      <c r="B77" s="31" t="s">
        <v>186</v>
      </c>
      <c r="C77" s="30">
        <v>21000</v>
      </c>
      <c r="D77" s="30">
        <v>3500</v>
      </c>
      <c r="E77" s="30"/>
      <c r="F77" s="46">
        <f>15000+100000</f>
        <v>115000</v>
      </c>
      <c r="G77" s="46">
        <v>6000</v>
      </c>
      <c r="H77" s="30"/>
      <c r="I77" s="30"/>
      <c r="J77" s="46"/>
      <c r="K77" s="46"/>
      <c r="L77" s="30">
        <f t="shared" si="6"/>
        <v>133500</v>
      </c>
      <c r="M77" s="30">
        <v>15269</v>
      </c>
      <c r="N77" s="30">
        <f t="shared" si="3"/>
        <v>118231</v>
      </c>
      <c r="O77" s="40">
        <f t="shared" si="8"/>
        <v>9.0129597258766358E-3</v>
      </c>
    </row>
    <row r="78" spans="1:15" ht="15.95" customHeight="1" x14ac:dyDescent="0.2">
      <c r="A78" s="43"/>
      <c r="B78" s="31"/>
      <c r="C78" s="30"/>
      <c r="D78" s="30"/>
      <c r="E78" s="30"/>
      <c r="F78" s="46"/>
      <c r="G78" s="46"/>
      <c r="H78" s="30"/>
      <c r="I78" s="30"/>
      <c r="J78" s="46"/>
      <c r="K78" s="46"/>
      <c r="L78" s="30"/>
      <c r="M78" s="30"/>
      <c r="N78" s="30"/>
      <c r="O78" s="40"/>
    </row>
    <row r="79" spans="1:15" ht="15.95" customHeight="1" x14ac:dyDescent="0.2">
      <c r="A79" s="43"/>
      <c r="B79" s="31"/>
      <c r="C79" s="30"/>
      <c r="D79" s="30"/>
      <c r="E79" s="30"/>
      <c r="F79" s="46"/>
      <c r="G79" s="46"/>
      <c r="H79" s="30"/>
      <c r="I79" s="30"/>
      <c r="J79" s="46"/>
      <c r="K79" s="46"/>
      <c r="L79" s="30"/>
      <c r="M79" s="30"/>
      <c r="N79" s="30"/>
      <c r="O79" s="40"/>
    </row>
    <row r="80" spans="1:15" ht="15.95" customHeight="1" x14ac:dyDescent="0.25">
      <c r="A80" s="41">
        <v>2</v>
      </c>
      <c r="B80" s="42" t="s">
        <v>62</v>
      </c>
      <c r="C80" s="28"/>
      <c r="D80" s="30"/>
      <c r="E80" s="30"/>
      <c r="F80" s="46"/>
      <c r="G80" s="46"/>
      <c r="H80" s="30"/>
      <c r="I80" s="30"/>
      <c r="J80" s="46"/>
      <c r="K80" s="46"/>
      <c r="L80" s="30"/>
      <c r="M80" s="30"/>
      <c r="N80" s="30"/>
      <c r="O80" s="40"/>
    </row>
    <row r="81" spans="1:15" ht="15.95" customHeight="1" x14ac:dyDescent="0.2">
      <c r="A81" s="43" t="s">
        <v>126</v>
      </c>
      <c r="B81" s="31" t="s">
        <v>63</v>
      </c>
      <c r="C81" s="30">
        <v>114414.1</v>
      </c>
      <c r="D81" s="30"/>
      <c r="E81" s="30"/>
      <c r="F81" s="46"/>
      <c r="G81" s="46">
        <v>29550.1</v>
      </c>
      <c r="H81" s="30"/>
      <c r="I81" s="30"/>
      <c r="J81" s="46"/>
      <c r="K81" s="46"/>
      <c r="L81" s="30">
        <f t="shared" ref="L81:L117" si="9">C81+D81-E81+F81-G81+H81-I81+J81-K81</f>
        <v>84864</v>
      </c>
      <c r="M81" s="30">
        <v>20434.849999999999</v>
      </c>
      <c r="N81" s="30">
        <f t="shared" si="3"/>
        <v>64429.15</v>
      </c>
      <c r="O81" s="40">
        <f t="shared" ref="O81:O117" si="10">M81/$M$136</f>
        <v>1.206224900480255E-2</v>
      </c>
    </row>
    <row r="82" spans="1:15" ht="15.95" hidden="1" customHeight="1" x14ac:dyDescent="0.2">
      <c r="A82" s="43">
        <v>214</v>
      </c>
      <c r="B82" s="31" t="s">
        <v>198</v>
      </c>
      <c r="C82" s="30"/>
      <c r="D82" s="30"/>
      <c r="E82" s="30"/>
      <c r="F82" s="46"/>
      <c r="G82" s="46"/>
      <c r="H82" s="30"/>
      <c r="I82" s="30"/>
      <c r="J82" s="46"/>
      <c r="K82" s="46"/>
      <c r="L82" s="30">
        <f t="shared" si="9"/>
        <v>0</v>
      </c>
      <c r="M82" s="30">
        <v>0</v>
      </c>
      <c r="N82" s="30">
        <f t="shared" si="3"/>
        <v>0</v>
      </c>
      <c r="O82" s="40">
        <f t="shared" si="10"/>
        <v>0</v>
      </c>
    </row>
    <row r="83" spans="1:15" ht="15.95" customHeight="1" x14ac:dyDescent="0.2">
      <c r="A83" s="43">
        <v>223</v>
      </c>
      <c r="B83" s="31" t="s">
        <v>199</v>
      </c>
      <c r="C83" s="30">
        <v>0</v>
      </c>
      <c r="D83" s="30">
        <v>1500</v>
      </c>
      <c r="E83" s="30"/>
      <c r="F83" s="46">
        <v>2000</v>
      </c>
      <c r="G83" s="46"/>
      <c r="H83" s="30"/>
      <c r="I83" s="30"/>
      <c r="J83" s="46"/>
      <c r="K83" s="46"/>
      <c r="L83" s="30">
        <f t="shared" si="9"/>
        <v>3500</v>
      </c>
      <c r="M83" s="30">
        <v>100</v>
      </c>
      <c r="N83" s="30">
        <f t="shared" si="3"/>
        <v>3400</v>
      </c>
      <c r="O83" s="40">
        <f t="shared" si="10"/>
        <v>5.9027832378522726E-5</v>
      </c>
    </row>
    <row r="84" spans="1:15" ht="15.95" hidden="1" customHeight="1" x14ac:dyDescent="0.2">
      <c r="A84" s="43">
        <v>229</v>
      </c>
      <c r="B84" s="31" t="s">
        <v>200</v>
      </c>
      <c r="C84" s="30"/>
      <c r="D84" s="30"/>
      <c r="E84" s="30"/>
      <c r="F84" s="46"/>
      <c r="G84" s="46"/>
      <c r="H84" s="30"/>
      <c r="I84" s="30"/>
      <c r="J84" s="46"/>
      <c r="K84" s="46"/>
      <c r="L84" s="30">
        <f t="shared" si="9"/>
        <v>0</v>
      </c>
      <c r="M84" s="30">
        <v>0</v>
      </c>
      <c r="N84" s="30">
        <f t="shared" si="3"/>
        <v>0</v>
      </c>
      <c r="O84" s="40">
        <f t="shared" si="10"/>
        <v>0</v>
      </c>
    </row>
    <row r="85" spans="1:15" ht="15.95" customHeight="1" x14ac:dyDescent="0.2">
      <c r="A85" s="43" t="s">
        <v>127</v>
      </c>
      <c r="B85" s="31" t="s">
        <v>64</v>
      </c>
      <c r="C85" s="30">
        <v>2750</v>
      </c>
      <c r="D85" s="30"/>
      <c r="E85" s="30"/>
      <c r="F85" s="46">
        <v>5000</v>
      </c>
      <c r="G85" s="46"/>
      <c r="H85" s="30"/>
      <c r="I85" s="30"/>
      <c r="J85" s="46"/>
      <c r="K85" s="46"/>
      <c r="L85" s="30">
        <f t="shared" si="9"/>
        <v>7750</v>
      </c>
      <c r="M85" s="30">
        <v>1055.48</v>
      </c>
      <c r="N85" s="30">
        <f t="shared" si="3"/>
        <v>6694.52</v>
      </c>
      <c r="O85" s="40">
        <f t="shared" si="10"/>
        <v>6.2302696518883168E-4</v>
      </c>
    </row>
    <row r="86" spans="1:15" ht="15.95" customHeight="1" x14ac:dyDescent="0.2">
      <c r="A86" s="43" t="s">
        <v>128</v>
      </c>
      <c r="B86" s="31" t="s">
        <v>65</v>
      </c>
      <c r="C86" s="30">
        <v>16800</v>
      </c>
      <c r="D86" s="30"/>
      <c r="E86" s="30"/>
      <c r="F86" s="46">
        <v>10000</v>
      </c>
      <c r="G86" s="46"/>
      <c r="H86" s="30"/>
      <c r="I86" s="30"/>
      <c r="J86" s="46"/>
      <c r="K86" s="46"/>
      <c r="L86" s="30">
        <f t="shared" si="9"/>
        <v>26800</v>
      </c>
      <c r="M86" s="30">
        <v>608</v>
      </c>
      <c r="N86" s="30">
        <f t="shared" si="3"/>
        <v>26192</v>
      </c>
      <c r="O86" s="40">
        <f t="shared" si="10"/>
        <v>3.5888922086141817E-4</v>
      </c>
    </row>
    <row r="87" spans="1:15" ht="15.95" customHeight="1" x14ac:dyDescent="0.2">
      <c r="A87" s="43" t="s">
        <v>129</v>
      </c>
      <c r="B87" s="31" t="s">
        <v>66</v>
      </c>
      <c r="C87" s="30">
        <v>5250</v>
      </c>
      <c r="D87" s="30"/>
      <c r="E87" s="30"/>
      <c r="F87" s="46">
        <v>10000</v>
      </c>
      <c r="G87" s="46"/>
      <c r="H87" s="30"/>
      <c r="I87" s="30"/>
      <c r="J87" s="46"/>
      <c r="K87" s="46"/>
      <c r="L87" s="30">
        <f t="shared" si="9"/>
        <v>15250</v>
      </c>
      <c r="M87" s="30">
        <v>1072.5999999999999</v>
      </c>
      <c r="N87" s="30">
        <f t="shared" si="3"/>
        <v>14177.4</v>
      </c>
      <c r="O87" s="40">
        <f t="shared" si="10"/>
        <v>6.3313253009203473E-4</v>
      </c>
    </row>
    <row r="88" spans="1:15" ht="15.95" customHeight="1" x14ac:dyDescent="0.2">
      <c r="A88" s="43" t="s">
        <v>130</v>
      </c>
      <c r="B88" s="31" t="s">
        <v>67</v>
      </c>
      <c r="C88" s="30">
        <v>1500</v>
      </c>
      <c r="D88" s="30"/>
      <c r="E88" s="30"/>
      <c r="F88" s="46">
        <f>4000+5000</f>
        <v>9000</v>
      </c>
      <c r="G88" s="46"/>
      <c r="H88" s="30"/>
      <c r="I88" s="30"/>
      <c r="J88" s="46"/>
      <c r="K88" s="46"/>
      <c r="L88" s="30">
        <f t="shared" si="9"/>
        <v>10500</v>
      </c>
      <c r="M88" s="30">
        <v>1402.52</v>
      </c>
      <c r="N88" s="30">
        <f t="shared" si="3"/>
        <v>9097.48</v>
      </c>
      <c r="O88" s="40">
        <f t="shared" si="10"/>
        <v>8.2787715467525695E-4</v>
      </c>
    </row>
    <row r="89" spans="1:15" ht="15.95" customHeight="1" x14ac:dyDescent="0.2">
      <c r="A89" s="43" t="s">
        <v>131</v>
      </c>
      <c r="B89" s="31" t="s">
        <v>201</v>
      </c>
      <c r="C89" s="30">
        <v>3050</v>
      </c>
      <c r="D89" s="30"/>
      <c r="E89" s="30"/>
      <c r="F89" s="46"/>
      <c r="G89" s="46"/>
      <c r="H89" s="30"/>
      <c r="I89" s="30"/>
      <c r="J89" s="46"/>
      <c r="K89" s="46"/>
      <c r="L89" s="30">
        <f t="shared" si="9"/>
        <v>3050</v>
      </c>
      <c r="M89" s="30">
        <v>798.7</v>
      </c>
      <c r="N89" s="30">
        <f t="shared" si="3"/>
        <v>2251.3000000000002</v>
      </c>
      <c r="O89" s="40">
        <f t="shared" si="10"/>
        <v>4.7145529720726104E-4</v>
      </c>
    </row>
    <row r="90" spans="1:15" ht="15.95" customHeight="1" x14ac:dyDescent="0.2">
      <c r="A90" s="43" t="s">
        <v>132</v>
      </c>
      <c r="B90" s="31" t="s">
        <v>68</v>
      </c>
      <c r="C90" s="30">
        <v>875</v>
      </c>
      <c r="D90" s="30"/>
      <c r="E90" s="30"/>
      <c r="F90" s="46"/>
      <c r="G90" s="46"/>
      <c r="H90" s="30"/>
      <c r="I90" s="30"/>
      <c r="J90" s="46"/>
      <c r="K90" s="46"/>
      <c r="L90" s="30">
        <f t="shared" si="9"/>
        <v>875</v>
      </c>
      <c r="M90" s="30">
        <v>10</v>
      </c>
      <c r="N90" s="30">
        <f t="shared" si="3"/>
        <v>865</v>
      </c>
      <c r="O90" s="40">
        <f t="shared" si="10"/>
        <v>5.9027832378522724E-6</v>
      </c>
    </row>
    <row r="91" spans="1:15" ht="15.95" customHeight="1" x14ac:dyDescent="0.2">
      <c r="A91" s="43" t="s">
        <v>133</v>
      </c>
      <c r="B91" s="31" t="s">
        <v>202</v>
      </c>
      <c r="C91" s="30">
        <v>5500</v>
      </c>
      <c r="D91" s="30"/>
      <c r="E91" s="30"/>
      <c r="F91" s="46">
        <v>2000</v>
      </c>
      <c r="G91" s="46"/>
      <c r="H91" s="30"/>
      <c r="I91" s="30"/>
      <c r="J91" s="46"/>
      <c r="K91" s="46"/>
      <c r="L91" s="30">
        <f t="shared" si="9"/>
        <v>7500</v>
      </c>
      <c r="M91" s="30">
        <v>0</v>
      </c>
      <c r="N91" s="30">
        <f t="shared" si="3"/>
        <v>7500</v>
      </c>
      <c r="O91" s="40">
        <f t="shared" si="10"/>
        <v>0</v>
      </c>
    </row>
    <row r="92" spans="1:15" ht="15.95" customHeight="1" x14ac:dyDescent="0.2">
      <c r="A92" s="43" t="s">
        <v>134</v>
      </c>
      <c r="B92" s="31" t="s">
        <v>69</v>
      </c>
      <c r="C92" s="30">
        <v>2700</v>
      </c>
      <c r="D92" s="30"/>
      <c r="E92" s="30"/>
      <c r="F92" s="46"/>
      <c r="G92" s="46"/>
      <c r="H92" s="30"/>
      <c r="I92" s="30"/>
      <c r="J92" s="46"/>
      <c r="K92" s="46"/>
      <c r="L92" s="30">
        <f t="shared" si="9"/>
        <v>2700</v>
      </c>
      <c r="M92" s="30">
        <v>290</v>
      </c>
      <c r="N92" s="30">
        <f t="shared" si="3"/>
        <v>2410</v>
      </c>
      <c r="O92" s="40">
        <f t="shared" si="10"/>
        <v>1.711807138977159E-4</v>
      </c>
    </row>
    <row r="93" spans="1:15" ht="15.95" customHeight="1" x14ac:dyDescent="0.2">
      <c r="A93" s="43" t="s">
        <v>203</v>
      </c>
      <c r="B93" s="31" t="s">
        <v>204</v>
      </c>
      <c r="C93" s="30">
        <v>2800</v>
      </c>
      <c r="D93" s="30"/>
      <c r="E93" s="30"/>
      <c r="F93" s="46">
        <v>2000</v>
      </c>
      <c r="G93" s="46"/>
      <c r="H93" s="30"/>
      <c r="I93" s="30"/>
      <c r="J93" s="46"/>
      <c r="K93" s="46"/>
      <c r="L93" s="30">
        <f t="shared" si="9"/>
        <v>4800</v>
      </c>
      <c r="M93" s="30">
        <v>183</v>
      </c>
      <c r="N93" s="30">
        <f t="shared" si="3"/>
        <v>4617</v>
      </c>
      <c r="O93" s="40">
        <f t="shared" si="10"/>
        <v>1.0802093325269658E-4</v>
      </c>
    </row>
    <row r="94" spans="1:15" ht="15.95" customHeight="1" x14ac:dyDescent="0.2">
      <c r="A94" s="43" t="s">
        <v>135</v>
      </c>
      <c r="B94" s="31" t="s">
        <v>70</v>
      </c>
      <c r="C94" s="30">
        <v>8500</v>
      </c>
      <c r="D94" s="30"/>
      <c r="E94" s="30"/>
      <c r="F94" s="46">
        <v>2000</v>
      </c>
      <c r="G94" s="46"/>
      <c r="H94" s="30"/>
      <c r="I94" s="30"/>
      <c r="J94" s="46"/>
      <c r="K94" s="46"/>
      <c r="L94" s="30">
        <f t="shared" si="9"/>
        <v>10500</v>
      </c>
      <c r="M94" s="30">
        <v>3093.95</v>
      </c>
      <c r="N94" s="30">
        <f t="shared" si="3"/>
        <v>7406.05</v>
      </c>
      <c r="O94" s="40">
        <f t="shared" si="10"/>
        <v>1.8262916198753037E-3</v>
      </c>
    </row>
    <row r="95" spans="1:15" ht="15.95" customHeight="1" x14ac:dyDescent="0.2">
      <c r="A95" s="43" t="s">
        <v>136</v>
      </c>
      <c r="B95" s="31" t="s">
        <v>205</v>
      </c>
      <c r="C95" s="30">
        <v>2000</v>
      </c>
      <c r="D95" s="30"/>
      <c r="E95" s="30"/>
      <c r="F95" s="46">
        <v>6000</v>
      </c>
      <c r="G95" s="46"/>
      <c r="H95" s="30"/>
      <c r="I95" s="30"/>
      <c r="J95" s="46"/>
      <c r="K95" s="46"/>
      <c r="L95" s="30">
        <f t="shared" si="9"/>
        <v>8000</v>
      </c>
      <c r="M95" s="30">
        <v>1619.11</v>
      </c>
      <c r="N95" s="30">
        <f t="shared" si="3"/>
        <v>6380.89</v>
      </c>
      <c r="O95" s="40">
        <f t="shared" si="10"/>
        <v>9.5572553682389929E-4</v>
      </c>
    </row>
    <row r="96" spans="1:15" ht="15.95" customHeight="1" x14ac:dyDescent="0.2">
      <c r="A96" s="43" t="s">
        <v>137</v>
      </c>
      <c r="B96" s="31" t="s">
        <v>71</v>
      </c>
      <c r="C96" s="30">
        <v>17500</v>
      </c>
      <c r="D96" s="30"/>
      <c r="E96" s="30"/>
      <c r="F96" s="46"/>
      <c r="G96" s="46"/>
      <c r="H96" s="30"/>
      <c r="I96" s="30"/>
      <c r="J96" s="46"/>
      <c r="K96" s="46"/>
      <c r="L96" s="30">
        <f t="shared" si="9"/>
        <v>17500</v>
      </c>
      <c r="M96" s="30">
        <v>2875.38</v>
      </c>
      <c r="N96" s="30">
        <f t="shared" si="3"/>
        <v>14624.619999999999</v>
      </c>
      <c r="O96" s="40">
        <f t="shared" si="10"/>
        <v>1.6972744866455669E-3</v>
      </c>
    </row>
    <row r="97" spans="1:15" ht="15.95" customHeight="1" x14ac:dyDescent="0.2">
      <c r="A97" s="43" t="s">
        <v>138</v>
      </c>
      <c r="B97" s="31" t="s">
        <v>206</v>
      </c>
      <c r="C97" s="30">
        <v>3000</v>
      </c>
      <c r="D97" s="30"/>
      <c r="E97" s="30"/>
      <c r="F97" s="46"/>
      <c r="G97" s="46"/>
      <c r="H97" s="30"/>
      <c r="I97" s="30"/>
      <c r="J97" s="46"/>
      <c r="K97" s="46"/>
      <c r="L97" s="30">
        <f t="shared" si="9"/>
        <v>3000</v>
      </c>
      <c r="M97" s="30">
        <v>1501.7</v>
      </c>
      <c r="N97" s="30">
        <f t="shared" si="3"/>
        <v>1498.3</v>
      </c>
      <c r="O97" s="40">
        <f t="shared" si="10"/>
        <v>8.8642095882827574E-4</v>
      </c>
    </row>
    <row r="98" spans="1:15" ht="15.95" customHeight="1" x14ac:dyDescent="0.2">
      <c r="A98" s="43" t="s">
        <v>139</v>
      </c>
      <c r="B98" s="31" t="s">
        <v>207</v>
      </c>
      <c r="C98" s="30">
        <v>1500</v>
      </c>
      <c r="D98" s="30"/>
      <c r="E98" s="30"/>
      <c r="F98" s="46">
        <v>2000</v>
      </c>
      <c r="G98" s="46"/>
      <c r="H98" s="30"/>
      <c r="I98" s="30"/>
      <c r="J98" s="46"/>
      <c r="K98" s="46"/>
      <c r="L98" s="30">
        <f t="shared" si="9"/>
        <v>3500</v>
      </c>
      <c r="M98" s="30">
        <v>169</v>
      </c>
      <c r="N98" s="30">
        <f t="shared" ref="N98:N135" si="11">L98-M98</f>
        <v>3331</v>
      </c>
      <c r="O98" s="40">
        <f t="shared" si="10"/>
        <v>9.975703671970341E-5</v>
      </c>
    </row>
    <row r="99" spans="1:15" ht="15.95" customHeight="1" x14ac:dyDescent="0.2">
      <c r="A99" s="43" t="s">
        <v>140</v>
      </c>
      <c r="B99" s="31" t="s">
        <v>72</v>
      </c>
      <c r="C99" s="30">
        <v>210345</v>
      </c>
      <c r="D99" s="30"/>
      <c r="E99" s="30"/>
      <c r="F99" s="46"/>
      <c r="G99" s="46"/>
      <c r="H99" s="30"/>
      <c r="I99" s="30"/>
      <c r="J99" s="46"/>
      <c r="K99" s="46"/>
      <c r="L99" s="30">
        <f t="shared" si="9"/>
        <v>210345</v>
      </c>
      <c r="M99" s="30">
        <v>0</v>
      </c>
      <c r="N99" s="30">
        <f t="shared" si="11"/>
        <v>210345</v>
      </c>
      <c r="O99" s="40">
        <f t="shared" si="10"/>
        <v>0</v>
      </c>
    </row>
    <row r="100" spans="1:15" ht="15.95" hidden="1" customHeight="1" x14ac:dyDescent="0.2">
      <c r="A100" s="43">
        <v>272</v>
      </c>
      <c r="B100" s="31" t="s">
        <v>208</v>
      </c>
      <c r="C100" s="30"/>
      <c r="D100" s="30"/>
      <c r="E100" s="30"/>
      <c r="F100" s="46"/>
      <c r="G100" s="46"/>
      <c r="H100" s="30"/>
      <c r="I100" s="30"/>
      <c r="J100" s="46"/>
      <c r="K100" s="46"/>
      <c r="L100" s="30">
        <f t="shared" si="9"/>
        <v>0</v>
      </c>
      <c r="M100" s="30">
        <v>0</v>
      </c>
      <c r="N100" s="30">
        <f t="shared" si="11"/>
        <v>0</v>
      </c>
      <c r="O100" s="40">
        <f t="shared" si="10"/>
        <v>0</v>
      </c>
    </row>
    <row r="101" spans="1:15" ht="15.95" hidden="1" customHeight="1" x14ac:dyDescent="0.2">
      <c r="A101" s="43" t="s">
        <v>141</v>
      </c>
      <c r="B101" s="31" t="s">
        <v>209</v>
      </c>
      <c r="C101" s="30"/>
      <c r="D101" s="30"/>
      <c r="E101" s="30"/>
      <c r="F101" s="46"/>
      <c r="G101" s="46"/>
      <c r="H101" s="30"/>
      <c r="I101" s="30"/>
      <c r="J101" s="46"/>
      <c r="K101" s="46"/>
      <c r="L101" s="30">
        <f t="shared" si="9"/>
        <v>0</v>
      </c>
      <c r="M101" s="30">
        <v>0</v>
      </c>
      <c r="N101" s="30">
        <f t="shared" si="11"/>
        <v>0</v>
      </c>
      <c r="O101" s="40">
        <f t="shared" si="10"/>
        <v>0</v>
      </c>
    </row>
    <row r="102" spans="1:15" ht="15.95" customHeight="1" x14ac:dyDescent="0.2">
      <c r="A102" s="43">
        <v>274</v>
      </c>
      <c r="B102" s="31" t="s">
        <v>73</v>
      </c>
      <c r="C102" s="30">
        <v>1500</v>
      </c>
      <c r="D102" s="30"/>
      <c r="E102" s="30"/>
      <c r="F102" s="46"/>
      <c r="G102" s="46"/>
      <c r="H102" s="30"/>
      <c r="I102" s="30"/>
      <c r="J102" s="46"/>
      <c r="K102" s="46"/>
      <c r="L102" s="30">
        <f t="shared" si="9"/>
        <v>1500</v>
      </c>
      <c r="M102" s="30">
        <v>237</v>
      </c>
      <c r="N102" s="30">
        <f t="shared" si="11"/>
        <v>1263</v>
      </c>
      <c r="O102" s="40">
        <f t="shared" si="10"/>
        <v>1.3989596273709885E-4</v>
      </c>
    </row>
    <row r="103" spans="1:15" ht="15.95" hidden="1" customHeight="1" x14ac:dyDescent="0.2">
      <c r="A103" s="43">
        <v>275</v>
      </c>
      <c r="B103" s="31" t="s">
        <v>210</v>
      </c>
      <c r="C103" s="30"/>
      <c r="D103" s="30"/>
      <c r="E103" s="30"/>
      <c r="F103" s="46"/>
      <c r="G103" s="46"/>
      <c r="H103" s="30"/>
      <c r="I103" s="30"/>
      <c r="J103" s="46"/>
      <c r="K103" s="46"/>
      <c r="L103" s="30">
        <f t="shared" si="9"/>
        <v>0</v>
      </c>
      <c r="M103" s="30">
        <v>0</v>
      </c>
      <c r="N103" s="30">
        <f t="shared" si="11"/>
        <v>0</v>
      </c>
      <c r="O103" s="40">
        <f t="shared" si="10"/>
        <v>0</v>
      </c>
    </row>
    <row r="104" spans="1:15" ht="15.95" customHeight="1" x14ac:dyDescent="0.2">
      <c r="A104" s="43">
        <v>279</v>
      </c>
      <c r="B104" s="31" t="s">
        <v>211</v>
      </c>
      <c r="C104" s="30">
        <v>750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9"/>
        <v>750</v>
      </c>
      <c r="M104" s="30">
        <v>0</v>
      </c>
      <c r="N104" s="30">
        <f t="shared" si="11"/>
        <v>750</v>
      </c>
      <c r="O104" s="40">
        <f t="shared" si="10"/>
        <v>0</v>
      </c>
    </row>
    <row r="105" spans="1:15" ht="15.95" hidden="1" customHeight="1" x14ac:dyDescent="0.2">
      <c r="A105" s="43">
        <v>281</v>
      </c>
      <c r="B105" s="31" t="s">
        <v>212</v>
      </c>
      <c r="C105" s="30"/>
      <c r="D105" s="30"/>
      <c r="E105" s="30"/>
      <c r="F105" s="46"/>
      <c r="G105" s="46"/>
      <c r="H105" s="30"/>
      <c r="I105" s="30"/>
      <c r="J105" s="46"/>
      <c r="K105" s="46"/>
      <c r="L105" s="30">
        <f t="shared" si="9"/>
        <v>0</v>
      </c>
      <c r="M105" s="30">
        <v>0</v>
      </c>
      <c r="N105" s="30">
        <f t="shared" si="11"/>
        <v>0</v>
      </c>
      <c r="O105" s="40">
        <f t="shared" si="10"/>
        <v>0</v>
      </c>
    </row>
    <row r="106" spans="1:15" ht="15.95" customHeight="1" x14ac:dyDescent="0.2">
      <c r="A106" s="43" t="s">
        <v>142</v>
      </c>
      <c r="B106" s="31" t="s">
        <v>213</v>
      </c>
      <c r="C106" s="30">
        <v>1800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9"/>
        <v>1800</v>
      </c>
      <c r="M106" s="30">
        <v>216.9</v>
      </c>
      <c r="N106" s="30">
        <f t="shared" si="11"/>
        <v>1583.1</v>
      </c>
      <c r="O106" s="40">
        <f t="shared" si="10"/>
        <v>1.2803136842901581E-4</v>
      </c>
    </row>
    <row r="107" spans="1:15" ht="15.95" customHeight="1" x14ac:dyDescent="0.2">
      <c r="A107" s="43" t="s">
        <v>143</v>
      </c>
      <c r="B107" s="31" t="s">
        <v>74</v>
      </c>
      <c r="C107" s="30">
        <v>8800</v>
      </c>
      <c r="D107" s="30">
        <v>15000</v>
      </c>
      <c r="E107" s="30"/>
      <c r="F107" s="46">
        <v>10000</v>
      </c>
      <c r="G107" s="46"/>
      <c r="H107" s="30"/>
      <c r="I107" s="30"/>
      <c r="J107" s="46"/>
      <c r="K107" s="46"/>
      <c r="L107" s="30">
        <f t="shared" si="9"/>
        <v>33800</v>
      </c>
      <c r="M107" s="30">
        <v>2189.8200000000002</v>
      </c>
      <c r="N107" s="30">
        <f t="shared" si="11"/>
        <v>31610.18</v>
      </c>
      <c r="O107" s="40">
        <f t="shared" si="10"/>
        <v>1.2926032789913665E-3</v>
      </c>
    </row>
    <row r="108" spans="1:15" ht="15.95" customHeight="1" x14ac:dyDescent="0.2">
      <c r="A108" s="43" t="s">
        <v>144</v>
      </c>
      <c r="B108" s="31" t="s">
        <v>75</v>
      </c>
      <c r="C108" s="30">
        <v>800821.67999999993</v>
      </c>
      <c r="D108" s="30"/>
      <c r="E108" s="30"/>
      <c r="F108" s="46">
        <v>106800</v>
      </c>
      <c r="G108" s="46">
        <v>7621</v>
      </c>
      <c r="H108" s="30"/>
      <c r="I108" s="30"/>
      <c r="J108" s="46"/>
      <c r="K108" s="46"/>
      <c r="L108" s="30">
        <f t="shared" si="9"/>
        <v>900000.67999999993</v>
      </c>
      <c r="M108" s="30">
        <v>0</v>
      </c>
      <c r="N108" s="30">
        <f t="shared" si="11"/>
        <v>900000.67999999993</v>
      </c>
      <c r="O108" s="40">
        <f t="shared" si="10"/>
        <v>0</v>
      </c>
    </row>
    <row r="109" spans="1:15" ht="15.95" customHeight="1" x14ac:dyDescent="0.2">
      <c r="A109" s="43">
        <v>286</v>
      </c>
      <c r="B109" s="31" t="s">
        <v>214</v>
      </c>
      <c r="C109" s="30">
        <v>1500</v>
      </c>
      <c r="D109" s="30"/>
      <c r="E109" s="30"/>
      <c r="F109" s="46">
        <v>3000</v>
      </c>
      <c r="G109" s="46"/>
      <c r="H109" s="30"/>
      <c r="I109" s="30"/>
      <c r="J109" s="46"/>
      <c r="K109" s="46"/>
      <c r="L109" s="30">
        <f t="shared" si="9"/>
        <v>4500</v>
      </c>
      <c r="M109" s="30">
        <v>132.80000000000001</v>
      </c>
      <c r="N109" s="30">
        <f t="shared" si="11"/>
        <v>4367.2</v>
      </c>
      <c r="O109" s="40">
        <f t="shared" si="10"/>
        <v>7.8388961398678192E-5</v>
      </c>
    </row>
    <row r="110" spans="1:15" ht="15.95" hidden="1" customHeight="1" x14ac:dyDescent="0.2">
      <c r="A110" s="43">
        <v>289</v>
      </c>
      <c r="B110" s="31" t="s">
        <v>215</v>
      </c>
      <c r="C110" s="30"/>
      <c r="D110" s="30"/>
      <c r="E110" s="30"/>
      <c r="F110" s="46"/>
      <c r="G110" s="46"/>
      <c r="H110" s="30"/>
      <c r="I110" s="30"/>
      <c r="J110" s="46"/>
      <c r="K110" s="46"/>
      <c r="L110" s="30">
        <f t="shared" si="9"/>
        <v>0</v>
      </c>
      <c r="M110" s="30">
        <v>0</v>
      </c>
      <c r="N110" s="30">
        <f t="shared" si="11"/>
        <v>0</v>
      </c>
      <c r="O110" s="40">
        <f t="shared" si="10"/>
        <v>0</v>
      </c>
    </row>
    <row r="111" spans="1:15" ht="15.95" customHeight="1" x14ac:dyDescent="0.2">
      <c r="A111" s="43" t="s">
        <v>145</v>
      </c>
      <c r="B111" s="31" t="s">
        <v>76</v>
      </c>
      <c r="C111" s="30">
        <v>6600</v>
      </c>
      <c r="D111" s="30"/>
      <c r="E111" s="30"/>
      <c r="F111" s="46">
        <v>5000</v>
      </c>
      <c r="G111" s="46"/>
      <c r="H111" s="30"/>
      <c r="I111" s="30"/>
      <c r="J111" s="46"/>
      <c r="K111" s="46"/>
      <c r="L111" s="30">
        <f t="shared" si="9"/>
        <v>11600</v>
      </c>
      <c r="M111" s="30">
        <v>2695.06</v>
      </c>
      <c r="N111" s="30">
        <f t="shared" si="11"/>
        <v>8904.94</v>
      </c>
      <c r="O111" s="40">
        <f t="shared" si="10"/>
        <v>1.5908354993006146E-3</v>
      </c>
    </row>
    <row r="112" spans="1:15" ht="15.95" customHeight="1" x14ac:dyDescent="0.2">
      <c r="A112" s="43" t="s">
        <v>146</v>
      </c>
      <c r="B112" s="31" t="s">
        <v>216</v>
      </c>
      <c r="C112" s="30">
        <v>2000</v>
      </c>
      <c r="D112" s="30"/>
      <c r="E112" s="30"/>
      <c r="F112" s="46">
        <v>6000</v>
      </c>
      <c r="G112" s="46"/>
      <c r="H112" s="30"/>
      <c r="I112" s="30"/>
      <c r="J112" s="46"/>
      <c r="K112" s="46"/>
      <c r="L112" s="30">
        <f t="shared" si="9"/>
        <v>8000</v>
      </c>
      <c r="M112" s="30">
        <v>1530.25</v>
      </c>
      <c r="N112" s="30">
        <f t="shared" si="11"/>
        <v>6469.75</v>
      </c>
      <c r="O112" s="40">
        <f t="shared" si="10"/>
        <v>9.0327340497234397E-4</v>
      </c>
    </row>
    <row r="113" spans="1:15" ht="15.95" customHeight="1" x14ac:dyDescent="0.2">
      <c r="A113" s="43" t="s">
        <v>147</v>
      </c>
      <c r="B113" s="31" t="s">
        <v>77</v>
      </c>
      <c r="C113" s="30">
        <v>115251.9</v>
      </c>
      <c r="D113" s="30">
        <f>4500+21000+10000</f>
        <v>35500</v>
      </c>
      <c r="E113" s="30"/>
      <c r="F113" s="46"/>
      <c r="G113" s="46">
        <v>3150</v>
      </c>
      <c r="H113" s="30"/>
      <c r="I113" s="30"/>
      <c r="J113" s="46"/>
      <c r="K113" s="46"/>
      <c r="L113" s="30">
        <f t="shared" si="9"/>
        <v>147601.9</v>
      </c>
      <c r="M113" s="30">
        <v>20760.990000000002</v>
      </c>
      <c r="N113" s="30">
        <f t="shared" si="11"/>
        <v>126840.90999999999</v>
      </c>
      <c r="O113" s="40">
        <f t="shared" si="10"/>
        <v>1.2254762377321865E-2</v>
      </c>
    </row>
    <row r="114" spans="1:15" ht="15.95" customHeight="1" x14ac:dyDescent="0.2">
      <c r="A114" s="43" t="s">
        <v>148</v>
      </c>
      <c r="B114" s="31" t="s">
        <v>78</v>
      </c>
      <c r="C114" s="30">
        <v>2000</v>
      </c>
      <c r="D114" s="30"/>
      <c r="E114" s="30"/>
      <c r="F114" s="46">
        <v>3000</v>
      </c>
      <c r="G114" s="46"/>
      <c r="H114" s="30"/>
      <c r="I114" s="30"/>
      <c r="J114" s="46"/>
      <c r="K114" s="46"/>
      <c r="L114" s="30">
        <f t="shared" si="9"/>
        <v>5000</v>
      </c>
      <c r="M114" s="30">
        <v>0</v>
      </c>
      <c r="N114" s="30">
        <f t="shared" si="11"/>
        <v>5000</v>
      </c>
      <c r="O114" s="40">
        <f t="shared" si="10"/>
        <v>0</v>
      </c>
    </row>
    <row r="115" spans="1:15" ht="15.95" customHeight="1" x14ac:dyDescent="0.2">
      <c r="A115" s="43" t="s">
        <v>149</v>
      </c>
      <c r="B115" s="31" t="s">
        <v>217</v>
      </c>
      <c r="C115" s="30">
        <v>9500</v>
      </c>
      <c r="D115" s="30">
        <v>20000</v>
      </c>
      <c r="E115" s="30"/>
      <c r="F115" s="46">
        <v>5000</v>
      </c>
      <c r="G115" s="46"/>
      <c r="H115" s="30"/>
      <c r="I115" s="30"/>
      <c r="J115" s="46"/>
      <c r="K115" s="46"/>
      <c r="L115" s="30">
        <f t="shared" si="9"/>
        <v>34500</v>
      </c>
      <c r="M115" s="30">
        <v>55.95</v>
      </c>
      <c r="N115" s="30">
        <f t="shared" si="11"/>
        <v>34444.050000000003</v>
      </c>
      <c r="O115" s="40">
        <f t="shared" si="10"/>
        <v>3.3026072215783468E-5</v>
      </c>
    </row>
    <row r="116" spans="1:15" ht="15.95" customHeight="1" x14ac:dyDescent="0.2">
      <c r="A116" s="43" t="s">
        <v>150</v>
      </c>
      <c r="B116" s="31" t="s">
        <v>79</v>
      </c>
      <c r="C116" s="30">
        <v>101000</v>
      </c>
      <c r="D116" s="30"/>
      <c r="E116" s="30"/>
      <c r="F116" s="46">
        <v>358296.72</v>
      </c>
      <c r="G116" s="46"/>
      <c r="H116" s="30"/>
      <c r="I116" s="30"/>
      <c r="J116" s="46"/>
      <c r="K116" s="46"/>
      <c r="L116" s="30">
        <f t="shared" si="9"/>
        <v>459296.72</v>
      </c>
      <c r="M116" s="30">
        <v>5316.97</v>
      </c>
      <c r="N116" s="30">
        <f t="shared" si="11"/>
        <v>453979.75</v>
      </c>
      <c r="O116" s="40">
        <f t="shared" si="10"/>
        <v>3.1384921392163399E-3</v>
      </c>
    </row>
    <row r="117" spans="1:15" ht="15.95" customHeight="1" x14ac:dyDescent="0.2">
      <c r="A117" s="43" t="s">
        <v>151</v>
      </c>
      <c r="B117" s="31" t="s">
        <v>80</v>
      </c>
      <c r="C117" s="30">
        <v>11500</v>
      </c>
      <c r="D117" s="30"/>
      <c r="E117" s="30"/>
      <c r="F117" s="46">
        <v>25000</v>
      </c>
      <c r="G117" s="46"/>
      <c r="H117" s="30"/>
      <c r="I117" s="30"/>
      <c r="J117" s="46"/>
      <c r="K117" s="46"/>
      <c r="L117" s="30">
        <f t="shared" si="9"/>
        <v>36500</v>
      </c>
      <c r="M117" s="30">
        <v>4797.53</v>
      </c>
      <c r="N117" s="30">
        <f t="shared" si="11"/>
        <v>31702.47</v>
      </c>
      <c r="O117" s="40">
        <f t="shared" si="10"/>
        <v>2.8318779667093411E-3</v>
      </c>
    </row>
    <row r="118" spans="1:15" ht="15.95" customHeight="1" x14ac:dyDescent="0.2">
      <c r="A118" s="43"/>
      <c r="B118" s="31"/>
      <c r="C118" s="30"/>
      <c r="D118" s="30"/>
      <c r="E118" s="30"/>
      <c r="F118" s="46"/>
      <c r="G118" s="46"/>
      <c r="H118" s="30"/>
      <c r="I118" s="30"/>
      <c r="J118" s="46"/>
      <c r="K118" s="46"/>
      <c r="L118" s="30"/>
      <c r="M118" s="30"/>
      <c r="N118" s="30"/>
      <c r="O118" s="40"/>
    </row>
    <row r="119" spans="1:15" ht="15.95" customHeight="1" x14ac:dyDescent="0.2">
      <c r="A119" s="43"/>
      <c r="B119" s="31"/>
      <c r="C119" s="30"/>
      <c r="D119" s="30"/>
      <c r="E119" s="30"/>
      <c r="F119" s="46"/>
      <c r="G119" s="46"/>
      <c r="H119" s="30"/>
      <c r="I119" s="30"/>
      <c r="J119" s="46"/>
      <c r="K119" s="46"/>
      <c r="L119" s="30"/>
      <c r="M119" s="30"/>
      <c r="N119" s="30"/>
      <c r="O119" s="40"/>
    </row>
    <row r="120" spans="1:15" ht="15.95" customHeight="1" x14ac:dyDescent="0.2">
      <c r="A120" s="43"/>
      <c r="B120" s="31"/>
      <c r="C120" s="30"/>
      <c r="D120" s="30"/>
      <c r="E120" s="30"/>
      <c r="F120" s="46"/>
      <c r="G120" s="46"/>
      <c r="H120" s="30"/>
      <c r="I120" s="30"/>
      <c r="J120" s="46"/>
      <c r="K120" s="46"/>
      <c r="L120" s="30"/>
      <c r="M120" s="30"/>
      <c r="N120" s="30"/>
      <c r="O120" s="40"/>
    </row>
    <row r="121" spans="1:15" ht="15.95" customHeight="1" x14ac:dyDescent="0.25">
      <c r="A121" s="41">
        <v>3</v>
      </c>
      <c r="B121" s="42" t="s">
        <v>81</v>
      </c>
      <c r="C121" s="28"/>
      <c r="D121" s="30"/>
      <c r="E121" s="30"/>
      <c r="F121" s="46"/>
      <c r="G121" s="46"/>
      <c r="H121" s="30"/>
      <c r="I121" s="30"/>
      <c r="J121" s="46"/>
      <c r="K121" s="46"/>
      <c r="L121" s="30"/>
      <c r="M121" s="30"/>
      <c r="N121" s="30"/>
      <c r="O121" s="40"/>
    </row>
    <row r="122" spans="1:15" ht="15.95" customHeight="1" x14ac:dyDescent="0.2">
      <c r="A122" s="44" t="s">
        <v>218</v>
      </c>
      <c r="B122" s="45" t="s">
        <v>219</v>
      </c>
      <c r="C122" s="46">
        <v>10000</v>
      </c>
      <c r="D122" s="30"/>
      <c r="E122" s="30"/>
      <c r="F122" s="46">
        <f>20000+10000</f>
        <v>30000</v>
      </c>
      <c r="G122" s="46"/>
      <c r="H122" s="30"/>
      <c r="I122" s="30"/>
      <c r="J122" s="46"/>
      <c r="K122" s="46"/>
      <c r="L122" s="30">
        <f t="shared" ref="L122:L135" si="12">C122+D122-E122+F122-G122+J122-K122</f>
        <v>40000</v>
      </c>
      <c r="M122" s="30">
        <v>1299</v>
      </c>
      <c r="N122" s="30">
        <f t="shared" si="11"/>
        <v>38701</v>
      </c>
      <c r="O122" s="40">
        <f>M122/$M$136</f>
        <v>7.6677154259701015E-4</v>
      </c>
    </row>
    <row r="123" spans="1:15" ht="15.95" hidden="1" customHeight="1" x14ac:dyDescent="0.2">
      <c r="A123" s="44" t="s">
        <v>82</v>
      </c>
      <c r="B123" s="45" t="s">
        <v>220</v>
      </c>
      <c r="C123" s="46">
        <v>0</v>
      </c>
      <c r="D123" s="30"/>
      <c r="E123" s="30"/>
      <c r="F123" s="46"/>
      <c r="G123" s="46"/>
      <c r="H123" s="30"/>
      <c r="I123" s="30"/>
      <c r="J123" s="46"/>
      <c r="K123" s="46"/>
      <c r="L123" s="30">
        <f t="shared" si="12"/>
        <v>0</v>
      </c>
      <c r="M123" s="30">
        <v>0</v>
      </c>
      <c r="N123" s="30">
        <f t="shared" si="11"/>
        <v>0</v>
      </c>
      <c r="O123" s="40">
        <f>M123/$M$136</f>
        <v>0</v>
      </c>
    </row>
    <row r="124" spans="1:15" ht="15.95" customHeight="1" x14ac:dyDescent="0.2">
      <c r="A124" s="44" t="s">
        <v>221</v>
      </c>
      <c r="B124" s="45" t="s">
        <v>222</v>
      </c>
      <c r="C124" s="46">
        <v>54035</v>
      </c>
      <c r="D124" s="30"/>
      <c r="E124" s="30"/>
      <c r="F124" s="46">
        <v>120000</v>
      </c>
      <c r="G124" s="46"/>
      <c r="H124" s="30"/>
      <c r="I124" s="30"/>
      <c r="J124" s="46"/>
      <c r="K124" s="46"/>
      <c r="L124" s="30">
        <f t="shared" si="12"/>
        <v>174035</v>
      </c>
      <c r="M124" s="30">
        <f>35472.21</f>
        <v>35472.21</v>
      </c>
      <c r="N124" s="30">
        <f t="shared" si="11"/>
        <v>138562.79</v>
      </c>
      <c r="O124" s="40">
        <f>M124/$M$136</f>
        <v>2.0938476659757576E-2</v>
      </c>
    </row>
    <row r="125" spans="1:15" ht="15.95" customHeight="1" x14ac:dyDescent="0.2">
      <c r="A125" s="44" t="s">
        <v>223</v>
      </c>
      <c r="B125" s="45" t="s">
        <v>224</v>
      </c>
      <c r="C125" s="46">
        <v>1500</v>
      </c>
      <c r="D125" s="30"/>
      <c r="E125" s="30"/>
      <c r="F125" s="46"/>
      <c r="G125" s="46"/>
      <c r="H125" s="30"/>
      <c r="I125" s="30"/>
      <c r="J125" s="46"/>
      <c r="K125" s="46"/>
      <c r="L125" s="30">
        <f t="shared" si="12"/>
        <v>1500</v>
      </c>
      <c r="M125" s="30">
        <v>0</v>
      </c>
      <c r="N125" s="30">
        <f t="shared" si="11"/>
        <v>1500</v>
      </c>
      <c r="O125" s="40">
        <f>M125/$M$136</f>
        <v>0</v>
      </c>
    </row>
    <row r="126" spans="1:15" ht="15.95" customHeight="1" x14ac:dyDescent="0.2">
      <c r="A126" s="44">
        <v>328</v>
      </c>
      <c r="B126" s="45" t="s">
        <v>254</v>
      </c>
      <c r="C126" s="46">
        <v>0</v>
      </c>
      <c r="D126" s="30">
        <v>3000</v>
      </c>
      <c r="E126" s="30"/>
      <c r="F126" s="46"/>
      <c r="G126" s="46"/>
      <c r="H126" s="30"/>
      <c r="I126" s="30"/>
      <c r="J126" s="46"/>
      <c r="K126" s="46"/>
      <c r="L126" s="30">
        <f t="shared" si="12"/>
        <v>3000</v>
      </c>
      <c r="M126" s="30"/>
      <c r="N126" s="30">
        <f t="shared" si="11"/>
        <v>3000</v>
      </c>
      <c r="O126" s="40"/>
    </row>
    <row r="127" spans="1:15" ht="15.95" customHeight="1" x14ac:dyDescent="0.2">
      <c r="A127" s="44" t="s">
        <v>225</v>
      </c>
      <c r="B127" s="45" t="s">
        <v>226</v>
      </c>
      <c r="C127" s="46">
        <v>14300</v>
      </c>
      <c r="D127" s="30">
        <f>3000+16000</f>
        <v>19000</v>
      </c>
      <c r="E127" s="30"/>
      <c r="F127" s="46">
        <v>42000</v>
      </c>
      <c r="G127" s="46"/>
      <c r="H127" s="30"/>
      <c r="I127" s="30"/>
      <c r="J127" s="46"/>
      <c r="K127" s="46"/>
      <c r="L127" s="30">
        <f t="shared" si="12"/>
        <v>75300</v>
      </c>
      <c r="M127" s="30">
        <v>8536.8799999999992</v>
      </c>
      <c r="N127" s="30">
        <f t="shared" si="11"/>
        <v>66763.12</v>
      </c>
      <c r="O127" s="40">
        <f>M127/$M$136</f>
        <v>5.0391352167556301E-3</v>
      </c>
    </row>
    <row r="128" spans="1:15" ht="15.95" hidden="1" customHeight="1" x14ac:dyDescent="0.2">
      <c r="A128" s="44" t="s">
        <v>227</v>
      </c>
      <c r="B128" s="45" t="s">
        <v>228</v>
      </c>
      <c r="C128" s="46">
        <v>0</v>
      </c>
      <c r="D128" s="30"/>
      <c r="E128" s="30"/>
      <c r="F128" s="46"/>
      <c r="G128" s="46"/>
      <c r="H128" s="30"/>
      <c r="I128" s="30"/>
      <c r="J128" s="46"/>
      <c r="K128" s="46"/>
      <c r="L128" s="30">
        <f t="shared" si="12"/>
        <v>0</v>
      </c>
      <c r="M128" s="30">
        <v>0</v>
      </c>
      <c r="N128" s="30">
        <f t="shared" si="11"/>
        <v>0</v>
      </c>
      <c r="O128" s="40">
        <f>M128/$M$136</f>
        <v>0</v>
      </c>
    </row>
    <row r="129" spans="1:15" ht="15.95" customHeight="1" x14ac:dyDescent="0.2">
      <c r="A129" s="44"/>
      <c r="B129" s="45"/>
      <c r="C129" s="46"/>
      <c r="D129" s="30"/>
      <c r="E129" s="30"/>
      <c r="F129" s="46"/>
      <c r="G129" s="46"/>
      <c r="H129" s="30"/>
      <c r="I129" s="30"/>
      <c r="J129" s="46"/>
      <c r="K129" s="46"/>
      <c r="L129" s="30"/>
      <c r="M129" s="30"/>
      <c r="N129" s="30"/>
      <c r="O129" s="40"/>
    </row>
    <row r="130" spans="1:15" ht="15.95" customHeight="1" x14ac:dyDescent="0.2">
      <c r="A130" s="43"/>
      <c r="B130" s="31"/>
      <c r="C130" s="30"/>
      <c r="D130" s="30"/>
      <c r="E130" s="30"/>
      <c r="F130" s="46"/>
      <c r="G130" s="46"/>
      <c r="H130" s="30"/>
      <c r="I130" s="30"/>
      <c r="J130" s="46"/>
      <c r="K130" s="46"/>
      <c r="L130" s="30"/>
      <c r="M130" s="30"/>
      <c r="N130" s="30"/>
      <c r="O130" s="40"/>
    </row>
    <row r="131" spans="1:15" ht="15.95" customHeight="1" x14ac:dyDescent="0.25">
      <c r="A131" s="41">
        <v>4</v>
      </c>
      <c r="B131" s="42" t="s">
        <v>83</v>
      </c>
      <c r="C131" s="28"/>
      <c r="D131" s="30"/>
      <c r="E131" s="30"/>
      <c r="F131" s="46"/>
      <c r="G131" s="46"/>
      <c r="H131" s="30"/>
      <c r="I131" s="30"/>
      <c r="J131" s="46"/>
      <c r="K131" s="46"/>
      <c r="L131" s="30"/>
      <c r="M131" s="30"/>
      <c r="N131" s="30"/>
      <c r="O131" s="40"/>
    </row>
    <row r="132" spans="1:15" ht="15.95" customHeight="1" x14ac:dyDescent="0.2">
      <c r="A132" s="43" t="s">
        <v>229</v>
      </c>
      <c r="B132" s="31" t="s">
        <v>84</v>
      </c>
      <c r="C132" s="30">
        <v>140900</v>
      </c>
      <c r="D132" s="30"/>
      <c r="E132" s="30"/>
      <c r="F132" s="46">
        <v>180620.2</v>
      </c>
      <c r="G132" s="46"/>
      <c r="H132" s="30"/>
      <c r="I132" s="30"/>
      <c r="J132" s="46"/>
      <c r="K132" s="46"/>
      <c r="L132" s="30">
        <f t="shared" si="12"/>
        <v>321520.2</v>
      </c>
      <c r="M132" s="30">
        <v>61719.78</v>
      </c>
      <c r="N132" s="30">
        <f t="shared" si="11"/>
        <v>259800.42</v>
      </c>
      <c r="O132" s="40">
        <f>M132/$M$136</f>
        <v>3.6431848282792993E-2</v>
      </c>
    </row>
    <row r="133" spans="1:15" ht="15.95" customHeight="1" x14ac:dyDescent="0.2">
      <c r="A133" s="43" t="s">
        <v>230</v>
      </c>
      <c r="B133" s="31" t="s">
        <v>231</v>
      </c>
      <c r="C133" s="30">
        <v>7170</v>
      </c>
      <c r="D133" s="30"/>
      <c r="E133" s="30"/>
      <c r="F133" s="30"/>
      <c r="G133" s="30"/>
      <c r="H133" s="30"/>
      <c r="I133" s="30"/>
      <c r="J133" s="46"/>
      <c r="K133" s="46"/>
      <c r="L133" s="30">
        <f t="shared" si="12"/>
        <v>7170</v>
      </c>
      <c r="M133" s="30">
        <v>3718.87</v>
      </c>
      <c r="N133" s="30">
        <f t="shared" si="11"/>
        <v>3451.13</v>
      </c>
      <c r="O133" s="40">
        <f>M133/$M$136</f>
        <v>2.1951683499751681E-3</v>
      </c>
    </row>
    <row r="134" spans="1:15" ht="15.95" customHeight="1" x14ac:dyDescent="0.2">
      <c r="A134" s="43" t="s">
        <v>232</v>
      </c>
      <c r="B134" s="31" t="s">
        <v>233</v>
      </c>
      <c r="C134" s="30">
        <v>163700</v>
      </c>
      <c r="D134" s="30"/>
      <c r="E134" s="30"/>
      <c r="F134" s="30"/>
      <c r="G134" s="30"/>
      <c r="H134" s="30"/>
      <c r="I134" s="30"/>
      <c r="J134" s="46"/>
      <c r="K134" s="46"/>
      <c r="L134" s="30">
        <f t="shared" si="12"/>
        <v>163700</v>
      </c>
      <c r="M134" s="30">
        <v>34789.14</v>
      </c>
      <c r="N134" s="30">
        <f t="shared" si="11"/>
        <v>128910.86</v>
      </c>
      <c r="O134" s="40">
        <f>M134/$M$136</f>
        <v>2.0535275245129599E-2</v>
      </c>
    </row>
    <row r="135" spans="1:15" ht="15.95" customHeight="1" thickBot="1" x14ac:dyDescent="0.25">
      <c r="A135" s="43" t="s">
        <v>234</v>
      </c>
      <c r="B135" s="31" t="s">
        <v>235</v>
      </c>
      <c r="C135" s="30">
        <v>8750</v>
      </c>
      <c r="D135" s="30"/>
      <c r="E135" s="30"/>
      <c r="F135" s="30"/>
      <c r="G135" s="30"/>
      <c r="H135" s="30"/>
      <c r="I135" s="30"/>
      <c r="J135" s="46"/>
      <c r="K135" s="46"/>
      <c r="L135" s="30">
        <f t="shared" si="12"/>
        <v>8750</v>
      </c>
      <c r="M135" s="30">
        <v>0</v>
      </c>
      <c r="N135" s="30">
        <f t="shared" si="11"/>
        <v>8750</v>
      </c>
      <c r="O135" s="40">
        <f>M135/$M$136</f>
        <v>0</v>
      </c>
    </row>
    <row r="136" spans="1:15" ht="18" customHeight="1" thickBot="1" x14ac:dyDescent="0.3">
      <c r="A136" s="34"/>
      <c r="B136" s="35" t="s">
        <v>94</v>
      </c>
      <c r="C136" s="36">
        <f t="shared" ref="C136:N136" si="13">SUM(C31:C135)</f>
        <v>6416776.6099999994</v>
      </c>
      <c r="D136" s="36">
        <f t="shared" si="13"/>
        <v>129000</v>
      </c>
      <c r="E136" s="36">
        <f t="shared" si="13"/>
        <v>129000</v>
      </c>
      <c r="F136" s="36">
        <f t="shared" si="13"/>
        <v>1468277.92</v>
      </c>
      <c r="G136" s="36">
        <f t="shared" si="13"/>
        <v>1468277.92</v>
      </c>
      <c r="H136" s="36">
        <f t="shared" si="13"/>
        <v>0</v>
      </c>
      <c r="I136" s="36">
        <f t="shared" si="13"/>
        <v>0</v>
      </c>
      <c r="J136" s="71">
        <f t="shared" si="13"/>
        <v>0</v>
      </c>
      <c r="K136" s="71">
        <f t="shared" si="13"/>
        <v>0</v>
      </c>
      <c r="L136" s="36">
        <f t="shared" si="13"/>
        <v>6416776.6100000003</v>
      </c>
      <c r="M136" s="36">
        <f t="shared" si="13"/>
        <v>1694116.08</v>
      </c>
      <c r="N136" s="36">
        <f t="shared" si="13"/>
        <v>4722660.53</v>
      </c>
      <c r="O136" s="47">
        <v>1</v>
      </c>
    </row>
    <row r="137" spans="1:15" x14ac:dyDescent="0.2">
      <c r="A137" s="48"/>
      <c r="B137" s="85"/>
      <c r="C137" s="88"/>
      <c r="D137" s="86"/>
      <c r="E137" s="49"/>
      <c r="F137" s="49"/>
      <c r="G137" s="49"/>
      <c r="H137" s="49"/>
      <c r="I137" s="49"/>
      <c r="J137" s="72"/>
      <c r="K137" s="72"/>
      <c r="L137" s="49"/>
      <c r="M137" s="49"/>
      <c r="N137" s="49"/>
    </row>
    <row r="138" spans="1:15" ht="15.75" thickBot="1" x14ac:dyDescent="0.25">
      <c r="B138" s="87"/>
      <c r="C138" s="87"/>
      <c r="D138" s="87"/>
      <c r="E138" s="12"/>
      <c r="F138" s="4"/>
      <c r="L138" s="15"/>
      <c r="M138" s="4"/>
    </row>
    <row r="139" spans="1:15" ht="15.75" x14ac:dyDescent="0.25">
      <c r="A139" s="1" t="s">
        <v>85</v>
      </c>
      <c r="B139" s="2"/>
      <c r="C139" s="3"/>
      <c r="D139" s="4"/>
      <c r="E139" s="4"/>
      <c r="F139" s="4"/>
      <c r="G139" s="4"/>
      <c r="H139" s="4"/>
      <c r="I139" s="4"/>
      <c r="J139" s="73"/>
      <c r="K139" s="73"/>
      <c r="L139" s="4"/>
      <c r="M139" s="4"/>
    </row>
    <row r="140" spans="1:15" ht="15.75" x14ac:dyDescent="0.25">
      <c r="A140" s="5" t="s">
        <v>2</v>
      </c>
      <c r="B140" s="6"/>
      <c r="C140" s="7"/>
      <c r="D140" s="4"/>
      <c r="E140" s="4"/>
      <c r="F140" s="4"/>
      <c r="G140" s="4"/>
      <c r="H140" s="4"/>
      <c r="I140" s="4"/>
      <c r="J140" s="73"/>
      <c r="K140" s="73"/>
      <c r="L140" s="4"/>
      <c r="M140" s="4"/>
    </row>
    <row r="141" spans="1:15" ht="5.0999999999999996" customHeight="1" thickBot="1" x14ac:dyDescent="0.25">
      <c r="A141" s="8"/>
      <c r="B141" s="9"/>
      <c r="C141" s="10"/>
      <c r="D141" s="4"/>
      <c r="E141" s="4"/>
      <c r="F141" s="4"/>
      <c r="G141" s="4"/>
      <c r="H141" s="4"/>
      <c r="I141" s="4"/>
      <c r="J141" s="73"/>
      <c r="K141" s="73"/>
      <c r="L141" s="4"/>
      <c r="M141" s="4"/>
    </row>
    <row r="142" spans="1:15" ht="6.95" customHeight="1" x14ac:dyDescent="0.2">
      <c r="A142" s="51"/>
      <c r="B142" s="52"/>
      <c r="C142" s="53"/>
      <c r="D142" s="4"/>
      <c r="E142" s="4"/>
      <c r="F142" s="4"/>
      <c r="G142" s="4"/>
      <c r="H142" s="4"/>
      <c r="I142" s="4"/>
      <c r="J142" s="73"/>
      <c r="K142" s="73"/>
      <c r="L142" s="4"/>
      <c r="M142" s="4"/>
    </row>
    <row r="143" spans="1:15" x14ac:dyDescent="0.2">
      <c r="A143" s="54" t="s">
        <v>86</v>
      </c>
      <c r="B143" s="55"/>
      <c r="C143" s="56"/>
      <c r="D143" s="4"/>
      <c r="E143" s="4"/>
      <c r="F143" s="4"/>
      <c r="G143" s="4"/>
      <c r="H143" s="4"/>
      <c r="I143" s="4"/>
      <c r="J143" s="73"/>
      <c r="K143" s="73"/>
      <c r="L143" s="4"/>
    </row>
    <row r="144" spans="1:15" x14ac:dyDescent="0.2">
      <c r="A144" s="57" t="s">
        <v>236</v>
      </c>
      <c r="B144" s="55"/>
      <c r="C144" s="76">
        <f>260706.83+1025276.81</f>
        <v>1285983.6400000001</v>
      </c>
      <c r="D144" s="49"/>
      <c r="E144" s="4"/>
      <c r="F144" s="4"/>
      <c r="G144" s="4"/>
      <c r="H144" s="4"/>
      <c r="I144" s="4"/>
      <c r="J144" s="73"/>
      <c r="K144" s="73"/>
      <c r="L144" s="4"/>
    </row>
    <row r="145" spans="1:12" x14ac:dyDescent="0.2">
      <c r="A145" s="57" t="s">
        <v>256</v>
      </c>
      <c r="B145" s="55"/>
      <c r="C145" s="76">
        <f>50710.94-4603.19-39.95</f>
        <v>46067.8</v>
      </c>
      <c r="D145" s="49"/>
      <c r="E145" s="4"/>
      <c r="F145" s="4"/>
      <c r="G145" s="4"/>
      <c r="H145" s="4"/>
      <c r="I145" s="4"/>
      <c r="J145" s="73"/>
      <c r="K145" s="73"/>
      <c r="L145" s="4"/>
    </row>
    <row r="146" spans="1:12" x14ac:dyDescent="0.2">
      <c r="A146" s="97" t="s">
        <v>267</v>
      </c>
      <c r="B146" s="55"/>
      <c r="C146" s="76">
        <v>-23005.8</v>
      </c>
      <c r="D146" s="49"/>
      <c r="E146" s="4"/>
      <c r="F146" s="4"/>
      <c r="G146" s="4"/>
      <c r="H146" s="4"/>
      <c r="I146" s="4"/>
      <c r="J146" s="73"/>
      <c r="K146" s="73"/>
      <c r="L146" s="4"/>
    </row>
    <row r="147" spans="1:12" x14ac:dyDescent="0.2">
      <c r="A147" s="57" t="s">
        <v>87</v>
      </c>
      <c r="B147" s="55"/>
      <c r="C147" s="76">
        <f>M26</f>
        <v>2333552.86</v>
      </c>
      <c r="D147" s="4"/>
      <c r="E147" s="4"/>
      <c r="F147" s="4"/>
      <c r="G147" s="4"/>
      <c r="H147" s="4"/>
      <c r="I147" s="4"/>
      <c r="J147" s="73"/>
      <c r="K147" s="73"/>
      <c r="L147" s="4"/>
    </row>
    <row r="148" spans="1:12" x14ac:dyDescent="0.2">
      <c r="A148" s="57" t="s">
        <v>88</v>
      </c>
      <c r="B148" s="55"/>
      <c r="C148" s="77">
        <f>-M136-39.95</f>
        <v>-1694156.03</v>
      </c>
      <c r="D148" s="4"/>
      <c r="E148" s="4"/>
      <c r="F148" s="4"/>
      <c r="G148" s="4"/>
      <c r="H148" s="4"/>
      <c r="I148" s="4"/>
      <c r="J148" s="73"/>
      <c r="K148" s="73"/>
      <c r="L148" s="4"/>
    </row>
    <row r="149" spans="1:12" ht="15.75" x14ac:dyDescent="0.25">
      <c r="A149" s="58" t="s">
        <v>89</v>
      </c>
      <c r="B149" s="59"/>
      <c r="C149" s="78">
        <f>SUM(C144:C148)</f>
        <v>1948442.47</v>
      </c>
      <c r="D149" s="4"/>
      <c r="E149" s="4"/>
      <c r="F149" s="4"/>
      <c r="G149" s="4"/>
      <c r="H149" s="4"/>
      <c r="I149" s="4"/>
      <c r="J149" s="73"/>
      <c r="K149" s="73"/>
      <c r="L149" s="4"/>
    </row>
    <row r="150" spans="1:12" ht="5.0999999999999996" customHeight="1" x14ac:dyDescent="0.25">
      <c r="A150" s="58"/>
      <c r="B150" s="59"/>
      <c r="C150" s="78"/>
      <c r="D150" s="4"/>
      <c r="E150" s="4"/>
      <c r="F150" s="4"/>
      <c r="G150" s="4"/>
      <c r="H150" s="4"/>
      <c r="I150" s="4"/>
      <c r="J150" s="73"/>
      <c r="K150" s="73"/>
      <c r="L150" s="4"/>
    </row>
    <row r="151" spans="1:12" x14ac:dyDescent="0.2">
      <c r="A151" s="54" t="s">
        <v>90</v>
      </c>
      <c r="B151" s="55"/>
      <c r="C151" s="76"/>
      <c r="D151" s="90"/>
      <c r="E151" s="91"/>
      <c r="F151" s="4"/>
      <c r="G151" s="4"/>
      <c r="H151" s="4"/>
      <c r="I151" s="4"/>
      <c r="J151" s="73"/>
      <c r="K151" s="73"/>
      <c r="L151" s="4"/>
    </row>
    <row r="152" spans="1:12" x14ac:dyDescent="0.2">
      <c r="A152" s="57" t="s">
        <v>152</v>
      </c>
      <c r="B152" s="55"/>
      <c r="C152" s="76">
        <v>272</v>
      </c>
      <c r="D152" s="92"/>
      <c r="E152" s="91"/>
      <c r="F152" s="4"/>
      <c r="G152" s="4"/>
      <c r="H152" s="4"/>
      <c r="I152" s="4"/>
      <c r="J152" s="73"/>
      <c r="K152" s="73"/>
      <c r="L152" s="4"/>
    </row>
    <row r="153" spans="1:12" x14ac:dyDescent="0.2">
      <c r="A153" s="57" t="s">
        <v>156</v>
      </c>
      <c r="B153" s="55"/>
      <c r="C153" s="76">
        <v>10274.74</v>
      </c>
      <c r="D153" s="92"/>
      <c r="E153" s="91"/>
      <c r="F153" s="4"/>
      <c r="G153" s="4"/>
      <c r="H153" s="4"/>
      <c r="I153" s="4"/>
      <c r="J153" s="73"/>
      <c r="K153" s="73"/>
      <c r="L153" s="4"/>
    </row>
    <row r="154" spans="1:12" x14ac:dyDescent="0.2">
      <c r="A154" s="57" t="s">
        <v>154</v>
      </c>
      <c r="B154" s="55"/>
      <c r="C154" s="76">
        <v>1687.91</v>
      </c>
      <c r="D154" s="92"/>
      <c r="E154" s="91"/>
      <c r="F154" s="4"/>
      <c r="G154" s="4"/>
      <c r="H154" s="4"/>
      <c r="I154" s="4"/>
      <c r="J154" s="73"/>
      <c r="K154" s="73"/>
      <c r="L154" s="4"/>
    </row>
    <row r="155" spans="1:12" x14ac:dyDescent="0.2">
      <c r="A155" s="57" t="s">
        <v>153</v>
      </c>
      <c r="B155" s="55"/>
      <c r="C155" s="76">
        <v>1053.68</v>
      </c>
      <c r="D155" s="93"/>
      <c r="E155" s="94"/>
      <c r="F155" s="4"/>
      <c r="G155" s="4"/>
      <c r="H155" s="4"/>
      <c r="I155" s="4"/>
      <c r="J155" s="73"/>
      <c r="K155" s="73"/>
      <c r="L155" s="4"/>
    </row>
    <row r="156" spans="1:12" x14ac:dyDescent="0.2">
      <c r="A156" s="57" t="s">
        <v>253</v>
      </c>
      <c r="B156" s="55"/>
      <c r="C156" s="76">
        <f>990.15+990.15+990.15+990.15+990.15</f>
        <v>4950.75</v>
      </c>
      <c r="D156" s="93"/>
      <c r="E156" s="94"/>
      <c r="F156" s="4"/>
      <c r="G156" s="4"/>
      <c r="H156" s="4"/>
      <c r="I156" s="4"/>
      <c r="J156" s="73"/>
      <c r="K156" s="73"/>
      <c r="L156" s="4"/>
    </row>
    <row r="157" spans="1:12" ht="2.1" customHeight="1" x14ac:dyDescent="0.2">
      <c r="A157" s="57"/>
      <c r="B157" s="55"/>
      <c r="C157" s="77"/>
      <c r="D157" s="92"/>
      <c r="E157" s="91"/>
      <c r="F157" s="4"/>
      <c r="G157" s="4"/>
      <c r="H157" s="4"/>
      <c r="I157" s="4"/>
      <c r="J157" s="73"/>
      <c r="K157" s="73"/>
      <c r="L157" s="4"/>
    </row>
    <row r="158" spans="1:12" ht="15.75" x14ac:dyDescent="0.25">
      <c r="A158" s="58"/>
      <c r="B158" s="59"/>
      <c r="C158" s="78">
        <f>SUM(C152:C157)</f>
        <v>18239.080000000002</v>
      </c>
      <c r="D158" s="92"/>
      <c r="E158" s="91"/>
      <c r="F158" s="4"/>
      <c r="G158" s="4"/>
      <c r="H158" s="4"/>
      <c r="I158" s="4"/>
      <c r="J158" s="73"/>
      <c r="K158" s="73"/>
      <c r="L158" s="4"/>
    </row>
    <row r="159" spans="1:12" ht="2.1" customHeight="1" x14ac:dyDescent="0.25">
      <c r="A159" s="58"/>
      <c r="B159" s="59"/>
      <c r="C159" s="79"/>
      <c r="D159" s="90"/>
      <c r="E159" s="91"/>
      <c r="F159" s="4"/>
      <c r="G159" s="4"/>
      <c r="H159" s="4"/>
      <c r="I159" s="4"/>
      <c r="J159" s="73"/>
      <c r="K159" s="73"/>
      <c r="L159" s="4"/>
    </row>
    <row r="160" spans="1:12" ht="9.9499999999999993" customHeight="1" x14ac:dyDescent="0.2">
      <c r="A160" s="57"/>
      <c r="B160" s="55"/>
      <c r="C160" s="76"/>
      <c r="D160" s="90"/>
      <c r="E160" s="91"/>
      <c r="F160" s="4"/>
      <c r="G160" s="4"/>
      <c r="H160" s="4"/>
      <c r="I160" s="4"/>
      <c r="J160" s="73"/>
      <c r="K160" s="73"/>
      <c r="L160" s="4"/>
    </row>
    <row r="161" spans="1:13" ht="16.5" thickBot="1" x14ac:dyDescent="0.3">
      <c r="A161" s="60" t="s">
        <v>268</v>
      </c>
      <c r="B161" s="61"/>
      <c r="C161" s="75">
        <f>C149+C158</f>
        <v>1966681.55</v>
      </c>
      <c r="D161" s="90"/>
      <c r="E161" s="91"/>
      <c r="F161" s="4"/>
      <c r="G161" s="4"/>
      <c r="H161" s="4"/>
      <c r="I161" s="4"/>
      <c r="J161" s="73"/>
      <c r="K161" s="73"/>
      <c r="L161" s="4"/>
    </row>
    <row r="162" spans="1:13" x14ac:dyDescent="0.2">
      <c r="A162" s="62"/>
      <c r="B162" s="62"/>
      <c r="C162" s="63"/>
      <c r="D162" s="4"/>
      <c r="E162" s="4"/>
      <c r="F162" s="4"/>
      <c r="G162" s="4"/>
      <c r="H162" s="4"/>
      <c r="I162" s="4"/>
      <c r="J162" s="73"/>
      <c r="K162" s="73"/>
      <c r="L162" s="4"/>
    </row>
    <row r="163" spans="1:13" x14ac:dyDescent="0.2">
      <c r="C163" s="63"/>
      <c r="D163" s="4"/>
    </row>
    <row r="164" spans="1:13" x14ac:dyDescent="0.2">
      <c r="C164" s="14"/>
      <c r="D164" s="4"/>
    </row>
    <row r="165" spans="1:13" x14ac:dyDescent="0.2">
      <c r="C165" s="14"/>
      <c r="D165" s="4"/>
    </row>
    <row r="166" spans="1:13" x14ac:dyDescent="0.2">
      <c r="C166" s="15"/>
      <c r="D166" s="4"/>
      <c r="I166" s="4"/>
      <c r="K166" s="73"/>
      <c r="L166" s="4"/>
    </row>
    <row r="167" spans="1:13" x14ac:dyDescent="0.2">
      <c r="C167" s="15"/>
      <c r="D167" s="4"/>
    </row>
    <row r="168" spans="1:13" x14ac:dyDescent="0.2">
      <c r="C168" s="15"/>
      <c r="D168" s="4"/>
    </row>
    <row r="169" spans="1:13" x14ac:dyDescent="0.2">
      <c r="C169" s="15"/>
      <c r="D169" s="4"/>
    </row>
    <row r="170" spans="1:13" x14ac:dyDescent="0.2">
      <c r="C170" s="15"/>
      <c r="D170" s="4"/>
    </row>
    <row r="171" spans="1:13" x14ac:dyDescent="0.2">
      <c r="D171" s="4"/>
    </row>
    <row r="172" spans="1:13" x14ac:dyDescent="0.2">
      <c r="D172" s="4"/>
    </row>
    <row r="173" spans="1:13" x14ac:dyDescent="0.2">
      <c r="B173" s="11" t="s">
        <v>239</v>
      </c>
      <c r="D173" s="13" t="s">
        <v>240</v>
      </c>
      <c r="I173" s="13"/>
      <c r="K173" s="83"/>
      <c r="M173" s="11" t="s">
        <v>269</v>
      </c>
    </row>
    <row r="174" spans="1:13" x14ac:dyDescent="0.2">
      <c r="B174" s="11" t="s">
        <v>91</v>
      </c>
      <c r="D174" s="13" t="s">
        <v>92</v>
      </c>
      <c r="M174" s="11" t="s">
        <v>270</v>
      </c>
    </row>
    <row r="178" spans="7:12" x14ac:dyDescent="0.2">
      <c r="I178" s="4"/>
      <c r="K178" s="73"/>
      <c r="L178" s="4"/>
    </row>
    <row r="179" spans="7:12" x14ac:dyDescent="0.2">
      <c r="I179" s="4"/>
      <c r="K179" s="73"/>
      <c r="L179" s="4"/>
    </row>
    <row r="180" spans="7:12" x14ac:dyDescent="0.2">
      <c r="G180" s="64"/>
      <c r="I180" s="64"/>
      <c r="K180" s="74"/>
      <c r="L180" s="4"/>
    </row>
    <row r="181" spans="7:12" x14ac:dyDescent="0.2">
      <c r="G181" s="64"/>
      <c r="I181" s="64"/>
      <c r="K181" s="74"/>
      <c r="L181" s="4"/>
    </row>
    <row r="182" spans="7:12" x14ac:dyDescent="0.2">
      <c r="G182" s="64"/>
      <c r="L182" s="4"/>
    </row>
    <row r="183" spans="7:12" x14ac:dyDescent="0.2">
      <c r="G183" s="64"/>
    </row>
    <row r="184" spans="7:12" x14ac:dyDescent="0.2">
      <c r="G184" s="64"/>
    </row>
    <row r="185" spans="7:12" x14ac:dyDescent="0.2">
      <c r="G185" s="64"/>
      <c r="L185" s="4"/>
    </row>
    <row r="186" spans="7:12" x14ac:dyDescent="0.2">
      <c r="G186" s="64"/>
    </row>
    <row r="187" spans="7:12" x14ac:dyDescent="0.2">
      <c r="G187" s="64"/>
    </row>
    <row r="188" spans="7:12" x14ac:dyDescent="0.2">
      <c r="G188" s="64"/>
    </row>
    <row r="189" spans="7:12" x14ac:dyDescent="0.2">
      <c r="G189" s="64"/>
    </row>
    <row r="190" spans="7:12" x14ac:dyDescent="0.2">
      <c r="G190" s="64"/>
    </row>
    <row r="191" spans="7:12" x14ac:dyDescent="0.2">
      <c r="G191" s="64"/>
    </row>
    <row r="192" spans="7:12" x14ac:dyDescent="0.2">
      <c r="G192" s="64"/>
    </row>
    <row r="193" spans="7:7" x14ac:dyDescent="0.2">
      <c r="G193" s="64"/>
    </row>
    <row r="194" spans="7:7" x14ac:dyDescent="0.2">
      <c r="G194" s="64"/>
    </row>
    <row r="195" spans="7:7" x14ac:dyDescent="0.2">
      <c r="G195" s="64"/>
    </row>
    <row r="196" spans="7:7" x14ac:dyDescent="0.2">
      <c r="G196" s="64"/>
    </row>
    <row r="197" spans="7:7" x14ac:dyDescent="0.2">
      <c r="G197" s="64"/>
    </row>
  </sheetData>
  <mergeCells count="2">
    <mergeCell ref="B6:B7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horizontalDpi="0" verticalDpi="0" r:id="rId1"/>
  <rowBreaks count="2" manualBreakCount="2">
    <brk id="53" max="14" man="1"/>
    <brk id="11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8"/>
  <sheetViews>
    <sheetView topLeftCell="C63" zoomScaleNormal="100" workbookViewId="0">
      <selection activeCell="M73" sqref="M73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9" width="16.42578125" style="11" customWidth="1"/>
    <col min="10" max="11" width="13.42578125" style="62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5"/>
      <c r="K1" s="65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5"/>
      <c r="K2" s="65"/>
      <c r="L2" s="16"/>
      <c r="M2" s="16"/>
      <c r="N2" s="16"/>
      <c r="O2" s="17"/>
    </row>
    <row r="3" spans="1:15" ht="15.75" x14ac:dyDescent="0.25">
      <c r="A3" s="16" t="s">
        <v>272</v>
      </c>
      <c r="B3" s="16"/>
      <c r="C3" s="16"/>
      <c r="D3" s="16"/>
      <c r="E3" s="16"/>
      <c r="F3" s="16"/>
      <c r="G3" s="16"/>
      <c r="H3" s="16"/>
      <c r="I3" s="16"/>
      <c r="J3" s="65"/>
      <c r="K3" s="65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5"/>
      <c r="K4" s="65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6"/>
      <c r="K5" s="66"/>
      <c r="L5" s="17"/>
      <c r="M5" s="17"/>
      <c r="N5" s="17"/>
      <c r="O5" s="17"/>
    </row>
    <row r="6" spans="1:15" ht="16.5" thickBot="1" x14ac:dyDescent="0.3">
      <c r="A6" s="18" t="s">
        <v>3</v>
      </c>
      <c r="B6" s="100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9" t="s">
        <v>18</v>
      </c>
      <c r="I6" s="84"/>
      <c r="J6" s="67" t="s">
        <v>155</v>
      </c>
      <c r="K6" s="80" t="s">
        <v>155</v>
      </c>
      <c r="L6" s="18" t="s">
        <v>5</v>
      </c>
      <c r="M6" s="100" t="s">
        <v>8</v>
      </c>
      <c r="N6" s="18" t="s">
        <v>9</v>
      </c>
      <c r="O6" s="18" t="s">
        <v>10</v>
      </c>
    </row>
    <row r="7" spans="1:15" ht="16.5" thickBot="1" x14ac:dyDescent="0.3">
      <c r="A7" s="21" t="s">
        <v>11</v>
      </c>
      <c r="B7" s="101"/>
      <c r="C7" s="21" t="s">
        <v>12</v>
      </c>
      <c r="D7" s="22" t="s">
        <v>13</v>
      </c>
      <c r="E7" s="22" t="s">
        <v>14</v>
      </c>
      <c r="F7" s="22" t="s">
        <v>13</v>
      </c>
      <c r="G7" s="22" t="s">
        <v>14</v>
      </c>
      <c r="H7" s="22" t="s">
        <v>13</v>
      </c>
      <c r="I7" s="23" t="s">
        <v>14</v>
      </c>
      <c r="J7" s="68" t="s">
        <v>13</v>
      </c>
      <c r="K7" s="81" t="s">
        <v>14</v>
      </c>
      <c r="L7" s="21" t="s">
        <v>15</v>
      </c>
      <c r="M7" s="101"/>
      <c r="N7" s="21" t="s">
        <v>16</v>
      </c>
      <c r="O7" s="21" t="s">
        <v>17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9"/>
      <c r="K8" s="69"/>
      <c r="L8" s="25"/>
      <c r="M8" s="25"/>
      <c r="N8" s="25"/>
      <c r="O8" s="26"/>
    </row>
    <row r="9" spans="1:15" ht="15.95" customHeight="1" x14ac:dyDescent="0.25">
      <c r="A9" s="27"/>
      <c r="B9" s="27" t="s">
        <v>187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19</v>
      </c>
      <c r="B10" s="31" t="s">
        <v>188</v>
      </c>
      <c r="C10" s="30">
        <v>33000</v>
      </c>
      <c r="D10" s="30"/>
      <c r="E10" s="30"/>
      <c r="F10" s="30"/>
      <c r="G10" s="30">
        <v>6700</v>
      </c>
      <c r="H10" s="30"/>
      <c r="I10" s="30"/>
      <c r="J10" s="46"/>
      <c r="K10" s="46"/>
      <c r="L10" s="30">
        <f t="shared" ref="L10:L22" si="0">C10+D10-E10+F10-G10+J10-K10</f>
        <v>26300</v>
      </c>
      <c r="M10" s="30">
        <f>13600+7600+600+400+600</f>
        <v>22800</v>
      </c>
      <c r="N10" s="30">
        <f t="shared" ref="N10:N22" si="1">L10-M10</f>
        <v>3500</v>
      </c>
      <c r="O10" s="29">
        <f>M10/$M$26</f>
        <v>8.9345964381314317E-3</v>
      </c>
    </row>
    <row r="11" spans="1:15" ht="15.95" hidden="1" customHeight="1" x14ac:dyDescent="0.25">
      <c r="A11" s="31" t="s">
        <v>29</v>
      </c>
      <c r="B11" s="31" t="s">
        <v>30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si="0"/>
        <v>0</v>
      </c>
      <c r="M11" s="30">
        <v>0</v>
      </c>
      <c r="N11" s="30">
        <v>0</v>
      </c>
      <c r="O11" s="29"/>
    </row>
    <row r="12" spans="1:15" ht="15.95" customHeight="1" x14ac:dyDescent="0.25">
      <c r="A12" s="31" t="s">
        <v>20</v>
      </c>
      <c r="B12" s="31" t="s">
        <v>189</v>
      </c>
      <c r="C12" s="30">
        <v>25000</v>
      </c>
      <c r="D12" s="30"/>
      <c r="E12" s="30"/>
      <c r="F12" s="30"/>
      <c r="G12" s="30"/>
      <c r="H12" s="30"/>
      <c r="I12" s="30"/>
      <c r="J12" s="46"/>
      <c r="K12" s="46"/>
      <c r="L12" s="30">
        <f t="shared" si="0"/>
        <v>25000</v>
      </c>
      <c r="M12" s="30">
        <f>400.4+1360+750+50</f>
        <v>2560.4</v>
      </c>
      <c r="N12" s="30">
        <f t="shared" si="1"/>
        <v>22439.599999999999</v>
      </c>
      <c r="O12" s="29">
        <f>M12/$M$26</f>
        <v>1.0033395052715666E-3</v>
      </c>
    </row>
    <row r="13" spans="1:15" ht="15.95" customHeight="1" x14ac:dyDescent="0.25">
      <c r="A13" s="31" t="s">
        <v>21</v>
      </c>
      <c r="B13" s="31" t="s">
        <v>190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0"/>
        <v>3500</v>
      </c>
      <c r="M13" s="30">
        <v>0</v>
      </c>
      <c r="N13" s="30">
        <f t="shared" si="1"/>
        <v>3500</v>
      </c>
      <c r="O13" s="29">
        <f>M13/$M$26</f>
        <v>0</v>
      </c>
    </row>
    <row r="14" spans="1:15" ht="15.95" customHeight="1" x14ac:dyDescent="0.25">
      <c r="A14" s="31"/>
      <c r="B14" s="27" t="s">
        <v>191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192</v>
      </c>
      <c r="B15" s="31" t="s">
        <v>245</v>
      </c>
      <c r="C15" s="30">
        <v>3300</v>
      </c>
      <c r="D15" s="30"/>
      <c r="E15" s="30"/>
      <c r="F15" s="30">
        <v>6700</v>
      </c>
      <c r="G15" s="30"/>
      <c r="H15" s="30"/>
      <c r="I15" s="30"/>
      <c r="J15" s="46"/>
      <c r="K15" s="46"/>
      <c r="L15" s="30">
        <f t="shared" si="0"/>
        <v>10000</v>
      </c>
      <c r="M15" s="30">
        <f>471.37+563.88+670.99+877.82+980.93+976.17+3.5+980.48+994.96+3.62</f>
        <v>6523.7199999999993</v>
      </c>
      <c r="N15" s="30">
        <f t="shared" si="1"/>
        <v>3476.2800000000007</v>
      </c>
      <c r="O15" s="29">
        <f>M15/$M$26</f>
        <v>2.5564388366388939E-3</v>
      </c>
    </row>
    <row r="16" spans="1:15" ht="15.95" customHeight="1" x14ac:dyDescent="0.25">
      <c r="A16" s="27" t="s">
        <v>242</v>
      </c>
      <c r="B16" s="27" t="s">
        <v>243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244</v>
      </c>
      <c r="B17" s="27" t="s">
        <v>241</v>
      </c>
      <c r="C17" s="89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22</v>
      </c>
      <c r="B18" s="31" t="s">
        <v>23</v>
      </c>
      <c r="C18" s="30">
        <v>2996512.52</v>
      </c>
      <c r="D18" s="30"/>
      <c r="E18" s="30"/>
      <c r="F18" s="30"/>
      <c r="G18" s="30"/>
      <c r="H18" s="30"/>
      <c r="I18" s="30"/>
      <c r="J18" s="46"/>
      <c r="K18" s="46"/>
      <c r="L18" s="30">
        <f t="shared" si="0"/>
        <v>2996512.52</v>
      </c>
      <c r="M18" s="30">
        <f>355870+247708.11+247708.11+247708.11+227292.61+228925.85+249709.38+216676.55</f>
        <v>2021598.72</v>
      </c>
      <c r="N18" s="30">
        <f t="shared" si="1"/>
        <v>974913.8</v>
      </c>
      <c r="O18" s="29">
        <f>M18/$M$26</f>
        <v>0.79220038258960801</v>
      </c>
    </row>
    <row r="19" spans="1:15" ht="15.95" hidden="1" customHeight="1" x14ac:dyDescent="0.25">
      <c r="A19" s="31" t="s">
        <v>24</v>
      </c>
      <c r="B19" s="31" t="s">
        <v>32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0"/>
        <v>0</v>
      </c>
      <c r="M19" s="30">
        <v>0</v>
      </c>
      <c r="N19" s="30">
        <f t="shared" si="1"/>
        <v>0</v>
      </c>
      <c r="O19" s="29">
        <f>M19/$M$26</f>
        <v>0</v>
      </c>
    </row>
    <row r="20" spans="1:15" ht="15.95" customHeight="1" x14ac:dyDescent="0.25">
      <c r="A20" s="31" t="s">
        <v>25</v>
      </c>
      <c r="B20" s="31" t="s">
        <v>26</v>
      </c>
      <c r="C20" s="30">
        <v>1809978.55</v>
      </c>
      <c r="D20" s="30"/>
      <c r="E20" s="30"/>
      <c r="F20" s="30"/>
      <c r="G20" s="30"/>
      <c r="H20" s="30"/>
      <c r="I20" s="30"/>
      <c r="J20" s="46"/>
      <c r="K20" s="46"/>
      <c r="L20" s="30">
        <f t="shared" si="0"/>
        <v>1809978.55</v>
      </c>
      <c r="M20" s="30">
        <f>351172.36+20685</f>
        <v>371857.36</v>
      </c>
      <c r="N20" s="30">
        <f t="shared" si="1"/>
        <v>1438121.19</v>
      </c>
      <c r="O20" s="29">
        <f>M20/$M$26</f>
        <v>0.14571909842758585</v>
      </c>
    </row>
    <row r="21" spans="1:15" ht="15.95" customHeight="1" x14ac:dyDescent="0.25">
      <c r="A21" s="31" t="s">
        <v>27</v>
      </c>
      <c r="B21" s="31" t="s">
        <v>28</v>
      </c>
      <c r="C21" s="30">
        <v>20000</v>
      </c>
      <c r="D21" s="30"/>
      <c r="E21" s="30"/>
      <c r="F21" s="30"/>
      <c r="G21" s="30"/>
      <c r="H21" s="30"/>
      <c r="I21" s="30"/>
      <c r="J21" s="46"/>
      <c r="K21" s="46"/>
      <c r="L21" s="30">
        <f t="shared" si="0"/>
        <v>20000</v>
      </c>
      <c r="M21" s="30">
        <v>0</v>
      </c>
      <c r="N21" s="30">
        <f t="shared" si="1"/>
        <v>20000</v>
      </c>
      <c r="O21" s="29">
        <f>M21/$M$26</f>
        <v>0</v>
      </c>
    </row>
    <row r="22" spans="1:15" ht="15.95" customHeight="1" x14ac:dyDescent="0.25">
      <c r="A22" s="32" t="s">
        <v>31</v>
      </c>
      <c r="B22" s="32" t="s">
        <v>33</v>
      </c>
      <c r="C22" s="33">
        <v>239501.9</v>
      </c>
      <c r="D22" s="33"/>
      <c r="E22" s="33"/>
      <c r="F22" s="33"/>
      <c r="G22" s="33"/>
      <c r="H22" s="33"/>
      <c r="I22" s="33"/>
      <c r="J22" s="70"/>
      <c r="K22" s="70"/>
      <c r="L22" s="30">
        <f t="shared" si="0"/>
        <v>239501.9</v>
      </c>
      <c r="M22" s="30">
        <f>53680.2+72857.59</f>
        <v>126537.79</v>
      </c>
      <c r="N22" s="30">
        <f t="shared" si="1"/>
        <v>112964.11</v>
      </c>
      <c r="O22" s="29">
        <f>M22/$M$26</f>
        <v>4.9586144202764172E-2</v>
      </c>
    </row>
    <row r="23" spans="1:15" ht="15.95" customHeight="1" x14ac:dyDescent="0.25">
      <c r="A23" s="27"/>
      <c r="B23" s="27" t="s">
        <v>193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30"/>
      <c r="N23" s="28"/>
      <c r="O23" s="29"/>
    </row>
    <row r="24" spans="1:15" ht="15.95" customHeight="1" x14ac:dyDescent="0.25">
      <c r="A24" s="31" t="s">
        <v>196</v>
      </c>
      <c r="B24" s="31" t="s">
        <v>197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>
        <v>0</v>
      </c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195</v>
      </c>
      <c r="B25" s="31" t="s">
        <v>194</v>
      </c>
      <c r="C25" s="30">
        <v>1025276.81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1025276.81</v>
      </c>
      <c r="M25" s="30"/>
      <c r="N25" s="30">
        <f>L25-M25</f>
        <v>1025276.81</v>
      </c>
      <c r="O25" s="29">
        <f>M25/$M$26</f>
        <v>0</v>
      </c>
    </row>
    <row r="26" spans="1:15" ht="18" customHeight="1" thickBot="1" x14ac:dyDescent="0.3">
      <c r="A26" s="34"/>
      <c r="B26" s="35" t="s">
        <v>34</v>
      </c>
      <c r="C26" s="36">
        <f>SUM(C9:C25)</f>
        <v>6416776.6100000013</v>
      </c>
      <c r="D26" s="36">
        <f t="shared" ref="D26:N26" si="2">SUM(D9:D25)</f>
        <v>0</v>
      </c>
      <c r="E26" s="36">
        <f t="shared" si="2"/>
        <v>0</v>
      </c>
      <c r="F26" s="36">
        <f t="shared" si="2"/>
        <v>6700</v>
      </c>
      <c r="G26" s="36">
        <f t="shared" si="2"/>
        <v>6700</v>
      </c>
      <c r="H26" s="36">
        <f t="shared" si="2"/>
        <v>0</v>
      </c>
      <c r="I26" s="36">
        <f t="shared" si="2"/>
        <v>0</v>
      </c>
      <c r="J26" s="36">
        <f t="shared" si="2"/>
        <v>0</v>
      </c>
      <c r="K26" s="36">
        <f t="shared" si="2"/>
        <v>0</v>
      </c>
      <c r="L26" s="36">
        <f t="shared" si="2"/>
        <v>6416776.6100000013</v>
      </c>
      <c r="M26" s="36">
        <f t="shared" si="2"/>
        <v>2551877.9900000002</v>
      </c>
      <c r="N26" s="36">
        <f t="shared" si="2"/>
        <v>3864898.62</v>
      </c>
      <c r="O26" s="29"/>
    </row>
    <row r="27" spans="1:15" ht="15.95" customHeight="1" x14ac:dyDescent="0.2">
      <c r="A27" s="37"/>
      <c r="B27" s="37"/>
      <c r="C27" s="38">
        <f>6416776.61-C26</f>
        <v>0</v>
      </c>
      <c r="D27" s="38"/>
      <c r="E27" s="38"/>
      <c r="F27" s="38"/>
      <c r="G27" s="38"/>
      <c r="H27" s="38"/>
      <c r="I27" s="38"/>
      <c r="J27" s="69"/>
      <c r="K27" s="69"/>
      <c r="L27" s="38"/>
      <c r="M27" s="38"/>
      <c r="N27" s="38"/>
      <c r="O27" s="39"/>
    </row>
    <row r="28" spans="1:15" ht="15.95" customHeight="1" x14ac:dyDescent="0.25">
      <c r="A28" s="27" t="s">
        <v>35</v>
      </c>
      <c r="B28" s="27" t="s">
        <v>36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37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38</v>
      </c>
      <c r="B31" s="31" t="s">
        <v>159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v>503964.8</v>
      </c>
      <c r="N31" s="30">
        <f t="shared" ref="N31:N97" si="3">L31-M31</f>
        <v>280607.24000000005</v>
      </c>
      <c r="O31" s="40">
        <f t="shared" ref="O31:O40" si="4">M31/$M$136</f>
        <v>0.24105380510660226</v>
      </c>
    </row>
    <row r="32" spans="1:15" ht="15.95" customHeight="1" x14ac:dyDescent="0.2">
      <c r="A32" s="43" t="s">
        <v>39</v>
      </c>
      <c r="B32" s="31" t="s">
        <v>160</v>
      </c>
      <c r="C32" s="30">
        <v>4500</v>
      </c>
      <c r="D32" s="30"/>
      <c r="E32" s="30"/>
      <c r="F32" s="46">
        <v>11000</v>
      </c>
      <c r="G32" s="46"/>
      <c r="H32" s="30"/>
      <c r="I32" s="30"/>
      <c r="J32" s="46"/>
      <c r="K32" s="46"/>
      <c r="L32" s="30">
        <f>C32+D32-E32+F32-G32+H32-I32+J32-K32</f>
        <v>15500</v>
      </c>
      <c r="M32" s="30">
        <v>5625</v>
      </c>
      <c r="N32" s="30">
        <f t="shared" si="3"/>
        <v>9875</v>
      </c>
      <c r="O32" s="40">
        <f t="shared" si="4"/>
        <v>2.690520555651184E-3</v>
      </c>
    </row>
    <row r="33" spans="1:15" ht="15.95" customHeight="1" x14ac:dyDescent="0.2">
      <c r="A33" s="43" t="s">
        <v>40</v>
      </c>
      <c r="B33" s="31" t="s">
        <v>161</v>
      </c>
      <c r="C33" s="30">
        <v>281100</v>
      </c>
      <c r="D33" s="30"/>
      <c r="E33" s="30"/>
      <c r="F33" s="46"/>
      <c r="G33" s="46"/>
      <c r="H33" s="30"/>
      <c r="I33" s="30"/>
      <c r="J33" s="46"/>
      <c r="K33" s="46"/>
      <c r="L33" s="30">
        <f t="shared" ref="L33:L40" si="5">C33+D33-E33+F33-G33+H33-I33+J33-K33</f>
        <v>281100</v>
      </c>
      <c r="M33" s="30">
        <v>171173.97</v>
      </c>
      <c r="N33" s="30">
        <f t="shared" si="3"/>
        <v>109926.03</v>
      </c>
      <c r="O33" s="40">
        <f t="shared" si="4"/>
        <v>8.1875037311541179E-2</v>
      </c>
    </row>
    <row r="34" spans="1:15" ht="15.95" customHeight="1" x14ac:dyDescent="0.2">
      <c r="A34" s="43" t="s">
        <v>41</v>
      </c>
      <c r="B34" s="31" t="s">
        <v>42</v>
      </c>
      <c r="C34" s="30">
        <v>17500</v>
      </c>
      <c r="D34" s="30"/>
      <c r="E34" s="30"/>
      <c r="F34" s="46"/>
      <c r="G34" s="46"/>
      <c r="H34" s="30"/>
      <c r="I34" s="30"/>
      <c r="J34" s="46"/>
      <c r="K34" s="46"/>
      <c r="L34" s="30">
        <f t="shared" si="5"/>
        <v>17500</v>
      </c>
      <c r="M34" s="30">
        <v>0</v>
      </c>
      <c r="N34" s="30">
        <f t="shared" si="3"/>
        <v>17500</v>
      </c>
      <c r="O34" s="40">
        <f t="shared" si="4"/>
        <v>0</v>
      </c>
    </row>
    <row r="35" spans="1:15" ht="15.95" customHeight="1" x14ac:dyDescent="0.2">
      <c r="A35" s="43" t="s">
        <v>43</v>
      </c>
      <c r="B35" s="31" t="s">
        <v>162</v>
      </c>
      <c r="C35" s="30">
        <v>34510.800000000003</v>
      </c>
      <c r="D35" s="30"/>
      <c r="E35" s="30"/>
      <c r="F35" s="46"/>
      <c r="G35" s="46"/>
      <c r="H35" s="30"/>
      <c r="I35" s="30"/>
      <c r="J35" s="46"/>
      <c r="K35" s="46"/>
      <c r="L35" s="30">
        <f t="shared" si="5"/>
        <v>34510.800000000003</v>
      </c>
      <c r="M35" s="30">
        <v>7079.65</v>
      </c>
      <c r="N35" s="30">
        <f t="shared" si="3"/>
        <v>27431.15</v>
      </c>
      <c r="O35" s="40">
        <f t="shared" si="4"/>
        <v>3.3863011292117164E-3</v>
      </c>
    </row>
    <row r="36" spans="1:15" ht="15.95" customHeight="1" x14ac:dyDescent="0.2">
      <c r="A36" s="43" t="s">
        <v>44</v>
      </c>
      <c r="B36" s="31" t="s">
        <v>163</v>
      </c>
      <c r="C36" s="30">
        <v>87401.15</v>
      </c>
      <c r="D36" s="30"/>
      <c r="E36" s="30"/>
      <c r="F36" s="46"/>
      <c r="G36" s="46"/>
      <c r="H36" s="30"/>
      <c r="I36" s="30"/>
      <c r="J36" s="46"/>
      <c r="K36" s="46"/>
      <c r="L36" s="30">
        <f t="shared" si="5"/>
        <v>87401.15</v>
      </c>
      <c r="M36" s="30">
        <v>54925.25</v>
      </c>
      <c r="N36" s="30">
        <f t="shared" si="3"/>
        <v>32475.899999999994</v>
      </c>
      <c r="O36" s="40">
        <f t="shared" si="4"/>
        <v>2.6271558070983147E-2</v>
      </c>
    </row>
    <row r="37" spans="1:15" ht="15.95" customHeight="1" x14ac:dyDescent="0.2">
      <c r="A37" s="43" t="s">
        <v>45</v>
      </c>
      <c r="B37" s="31" t="s">
        <v>164</v>
      </c>
      <c r="C37" s="30">
        <v>8190.84</v>
      </c>
      <c r="D37" s="30"/>
      <c r="E37" s="30"/>
      <c r="F37" s="46"/>
      <c r="G37" s="46"/>
      <c r="H37" s="30"/>
      <c r="I37" s="30"/>
      <c r="J37" s="46"/>
      <c r="K37" s="46"/>
      <c r="L37" s="30">
        <f t="shared" si="5"/>
        <v>8190.84</v>
      </c>
      <c r="M37" s="30">
        <v>5147.6400000000003</v>
      </c>
      <c r="N37" s="30">
        <f t="shared" si="3"/>
        <v>3043.2</v>
      </c>
      <c r="O37" s="40">
        <f t="shared" si="4"/>
        <v>2.4621922192164022E-3</v>
      </c>
    </row>
    <row r="38" spans="1:15" ht="15.95" customHeight="1" x14ac:dyDescent="0.2">
      <c r="A38" s="43" t="s">
        <v>46</v>
      </c>
      <c r="B38" s="31" t="s">
        <v>47</v>
      </c>
      <c r="C38" s="30">
        <v>67581.009999999995</v>
      </c>
      <c r="D38" s="30"/>
      <c r="E38" s="30"/>
      <c r="F38" s="46">
        <v>3000</v>
      </c>
      <c r="G38" s="46"/>
      <c r="H38" s="30"/>
      <c r="I38" s="30"/>
      <c r="J38" s="46"/>
      <c r="K38" s="46"/>
      <c r="L38" s="30">
        <f t="shared" si="5"/>
        <v>70581.009999999995</v>
      </c>
      <c r="M38" s="30">
        <v>7930.9</v>
      </c>
      <c r="N38" s="30">
        <f t="shared" si="3"/>
        <v>62650.109999999993</v>
      </c>
      <c r="O38" s="40">
        <f t="shared" si="4"/>
        <v>3.793466573300262E-3</v>
      </c>
    </row>
    <row r="39" spans="1:15" ht="15.95" customHeight="1" x14ac:dyDescent="0.2">
      <c r="A39" s="43" t="s">
        <v>48</v>
      </c>
      <c r="B39" s="31" t="s">
        <v>165</v>
      </c>
      <c r="C39" s="30">
        <v>67581.009999999995</v>
      </c>
      <c r="D39" s="30"/>
      <c r="E39" s="30"/>
      <c r="F39" s="46">
        <v>3000</v>
      </c>
      <c r="G39" s="46"/>
      <c r="H39" s="30"/>
      <c r="I39" s="30"/>
      <c r="J39" s="46"/>
      <c r="K39" s="46"/>
      <c r="L39" s="30">
        <f t="shared" si="5"/>
        <v>70581.009999999995</v>
      </c>
      <c r="M39" s="30">
        <v>65786.990000000005</v>
      </c>
      <c r="N39" s="30">
        <f t="shared" si="3"/>
        <v>4794.0199999999895</v>
      </c>
      <c r="O39" s="40">
        <f t="shared" si="4"/>
        <v>3.1466888691452248E-2</v>
      </c>
    </row>
    <row r="40" spans="1:15" ht="15.95" customHeight="1" x14ac:dyDescent="0.2">
      <c r="A40" s="43" t="s">
        <v>49</v>
      </c>
      <c r="B40" s="31" t="s">
        <v>50</v>
      </c>
      <c r="C40" s="30">
        <v>4400</v>
      </c>
      <c r="D40" s="30"/>
      <c r="E40" s="30"/>
      <c r="F40" s="46"/>
      <c r="G40" s="46"/>
      <c r="H40" s="30"/>
      <c r="I40" s="30"/>
      <c r="J40" s="46"/>
      <c r="K40" s="46"/>
      <c r="L40" s="30">
        <f t="shared" si="5"/>
        <v>4400</v>
      </c>
      <c r="M40" s="30">
        <v>99.73</v>
      </c>
      <c r="N40" s="30">
        <f t="shared" si="3"/>
        <v>4300.2700000000004</v>
      </c>
      <c r="O40" s="40">
        <f t="shared" si="4"/>
        <v>4.770233155823868E-5</v>
      </c>
    </row>
    <row r="41" spans="1:15" ht="15.95" customHeight="1" x14ac:dyDescent="0.2">
      <c r="A41" s="43"/>
      <c r="B41" s="31"/>
      <c r="C41" s="30"/>
      <c r="D41" s="30"/>
      <c r="E41" s="30"/>
      <c r="F41" s="46"/>
      <c r="G41" s="46"/>
      <c r="H41" s="30"/>
      <c r="I41" s="30"/>
      <c r="J41" s="46"/>
      <c r="K41" s="46"/>
      <c r="L41" s="30"/>
      <c r="M41" s="30"/>
      <c r="N41" s="30"/>
      <c r="O41" s="40"/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5">
      <c r="A43" s="41">
        <v>1</v>
      </c>
      <c r="B43" s="42" t="s">
        <v>51</v>
      </c>
      <c r="C43" s="28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">
      <c r="A44" s="43" t="s">
        <v>96</v>
      </c>
      <c r="B44" s="31" t="s">
        <v>52</v>
      </c>
      <c r="C44" s="30">
        <v>13750</v>
      </c>
      <c r="D44" s="30"/>
      <c r="E44" s="30"/>
      <c r="F44" s="46"/>
      <c r="G44" s="46"/>
      <c r="H44" s="30"/>
      <c r="I44" s="30"/>
      <c r="J44" s="46"/>
      <c r="K44" s="46"/>
      <c r="L44" s="30">
        <f t="shared" ref="L44:L77" si="6">C44+D44-E44+F44-G44+H44-I44+J44-K44</f>
        <v>13750</v>
      </c>
      <c r="M44" s="30">
        <v>3883.86</v>
      </c>
      <c r="N44" s="30">
        <f t="shared" si="3"/>
        <v>9866.14</v>
      </c>
      <c r="O44" s="40">
        <f t="shared" ref="O44:O59" si="7">M44/$M$136</f>
        <v>1.8577075849371392E-3</v>
      </c>
    </row>
    <row r="45" spans="1:15" ht="15.95" customHeight="1" x14ac:dyDescent="0.2">
      <c r="A45" s="43" t="s">
        <v>97</v>
      </c>
      <c r="B45" s="31" t="s">
        <v>53</v>
      </c>
      <c r="C45" s="30">
        <v>26100</v>
      </c>
      <c r="D45" s="30"/>
      <c r="E45" s="30"/>
      <c r="F45" s="46"/>
      <c r="G45" s="46"/>
      <c r="H45" s="30"/>
      <c r="I45" s="30"/>
      <c r="J45" s="46"/>
      <c r="K45" s="46"/>
      <c r="L45" s="30">
        <f t="shared" si="6"/>
        <v>26100</v>
      </c>
      <c r="M45" s="30">
        <v>13799.64</v>
      </c>
      <c r="N45" s="30">
        <f t="shared" si="3"/>
        <v>12300.36</v>
      </c>
      <c r="O45" s="40">
        <f t="shared" si="7"/>
        <v>6.6005715698820092E-3</v>
      </c>
    </row>
    <row r="46" spans="1:15" ht="15.95" customHeight="1" x14ac:dyDescent="0.2">
      <c r="A46" s="43" t="s">
        <v>98</v>
      </c>
      <c r="B46" s="31" t="s">
        <v>54</v>
      </c>
      <c r="C46" s="30">
        <v>2000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2000</v>
      </c>
      <c r="M46" s="30">
        <v>135</v>
      </c>
      <c r="N46" s="30">
        <f t="shared" si="3"/>
        <v>1865</v>
      </c>
      <c r="O46" s="40">
        <f t="shared" si="7"/>
        <v>6.4572493335628416E-5</v>
      </c>
    </row>
    <row r="47" spans="1:15" ht="15.95" customHeight="1" x14ac:dyDescent="0.2">
      <c r="A47" s="43" t="s">
        <v>99</v>
      </c>
      <c r="B47" s="31" t="s">
        <v>166</v>
      </c>
      <c r="C47" s="30">
        <v>8000</v>
      </c>
      <c r="D47" s="30"/>
      <c r="E47" s="30"/>
      <c r="F47" s="46">
        <v>5000</v>
      </c>
      <c r="G47" s="46"/>
      <c r="H47" s="30"/>
      <c r="I47" s="30"/>
      <c r="J47" s="46"/>
      <c r="K47" s="46"/>
      <c r="L47" s="30">
        <f t="shared" si="6"/>
        <v>13000</v>
      </c>
      <c r="M47" s="30">
        <v>5119.6099999999997</v>
      </c>
      <c r="N47" s="30">
        <f t="shared" si="3"/>
        <v>7880.39</v>
      </c>
      <c r="O47" s="40">
        <f t="shared" si="7"/>
        <v>2.4487850563408636E-3</v>
      </c>
    </row>
    <row r="48" spans="1:15" ht="15.95" customHeight="1" x14ac:dyDescent="0.2">
      <c r="A48" s="43" t="s">
        <v>100</v>
      </c>
      <c r="B48" s="31" t="s">
        <v>167</v>
      </c>
      <c r="C48" s="30">
        <v>14250</v>
      </c>
      <c r="D48" s="30"/>
      <c r="E48" s="30"/>
      <c r="F48" s="46">
        <v>1225</v>
      </c>
      <c r="G48" s="46">
        <v>1325</v>
      </c>
      <c r="H48" s="30"/>
      <c r="I48" s="30"/>
      <c r="J48" s="46"/>
      <c r="K48" s="46"/>
      <c r="L48" s="30">
        <f>C48+D48-E48+F48-G48+H48-I48+J48-K48</f>
        <v>14150</v>
      </c>
      <c r="M48" s="30">
        <v>870.95</v>
      </c>
      <c r="N48" s="30">
        <f t="shared" si="3"/>
        <v>13279.05</v>
      </c>
      <c r="O48" s="40">
        <f t="shared" si="7"/>
        <v>4.165882449678931E-4</v>
      </c>
    </row>
    <row r="49" spans="1:15" ht="15.95" customHeight="1" x14ac:dyDescent="0.2">
      <c r="A49" s="43" t="s">
        <v>101</v>
      </c>
      <c r="B49" s="31" t="s">
        <v>168</v>
      </c>
      <c r="C49" s="30">
        <v>1176868.53</v>
      </c>
      <c r="D49" s="30"/>
      <c r="E49" s="30">
        <v>129000</v>
      </c>
      <c r="F49" s="46"/>
      <c r="G49" s="46">
        <v>675646</v>
      </c>
      <c r="H49" s="30"/>
      <c r="I49" s="30"/>
      <c r="J49" s="46"/>
      <c r="K49" s="46"/>
      <c r="L49" s="30">
        <f t="shared" si="6"/>
        <v>372222.53</v>
      </c>
      <c r="M49" s="30">
        <v>242364.35</v>
      </c>
      <c r="N49" s="30">
        <f t="shared" si="3"/>
        <v>129858.18000000002</v>
      </c>
      <c r="O49" s="40">
        <f t="shared" si="7"/>
        <v>0.11592644722347344</v>
      </c>
    </row>
    <row r="50" spans="1:15" ht="15.95" customHeight="1" x14ac:dyDescent="0.2">
      <c r="A50" s="43" t="s">
        <v>102</v>
      </c>
      <c r="B50" s="31" t="s">
        <v>55</v>
      </c>
      <c r="C50" s="30">
        <v>619609.80000000005</v>
      </c>
      <c r="D50" s="30"/>
      <c r="E50" s="30"/>
      <c r="F50" s="46"/>
      <c r="G50" s="46">
        <v>452038.22</v>
      </c>
      <c r="H50" s="30"/>
      <c r="I50" s="30"/>
      <c r="J50" s="46"/>
      <c r="K50" s="46"/>
      <c r="L50" s="30">
        <f t="shared" si="6"/>
        <v>167571.58000000007</v>
      </c>
      <c r="M50" s="30">
        <v>77764.509999999995</v>
      </c>
      <c r="N50" s="30">
        <f t="shared" si="3"/>
        <v>89807.07000000008</v>
      </c>
      <c r="O50" s="40">
        <f t="shared" si="7"/>
        <v>3.7195913360914143E-2</v>
      </c>
    </row>
    <row r="51" spans="1:15" ht="15.95" customHeight="1" x14ac:dyDescent="0.2">
      <c r="A51" s="43" t="s">
        <v>103</v>
      </c>
      <c r="B51" s="31" t="s">
        <v>169</v>
      </c>
      <c r="C51" s="30">
        <v>504047.6</v>
      </c>
      <c r="D51" s="30"/>
      <c r="E51" s="30"/>
      <c r="F51" s="46"/>
      <c r="G51" s="46">
        <v>287247.59999999998</v>
      </c>
      <c r="H51" s="30"/>
      <c r="I51" s="30"/>
      <c r="J51" s="46"/>
      <c r="K51" s="46"/>
      <c r="L51" s="30">
        <f t="shared" si="6"/>
        <v>216800</v>
      </c>
      <c r="M51" s="30">
        <v>161379.76</v>
      </c>
      <c r="N51" s="30">
        <f t="shared" si="3"/>
        <v>55420.239999999991</v>
      </c>
      <c r="O51" s="40">
        <f t="shared" si="7"/>
        <v>7.719032205263196E-2</v>
      </c>
    </row>
    <row r="52" spans="1:15" ht="15.95" customHeight="1" x14ac:dyDescent="0.2">
      <c r="A52" s="43" t="s">
        <v>104</v>
      </c>
      <c r="B52" s="31" t="s">
        <v>56</v>
      </c>
      <c r="C52" s="30">
        <v>20750</v>
      </c>
      <c r="D52" s="30"/>
      <c r="E52" s="30"/>
      <c r="F52" s="46">
        <v>8000</v>
      </c>
      <c r="G52" s="46"/>
      <c r="H52" s="30"/>
      <c r="I52" s="30"/>
      <c r="J52" s="46"/>
      <c r="K52" s="46"/>
      <c r="L52" s="30">
        <f t="shared" si="6"/>
        <v>28750</v>
      </c>
      <c r="M52" s="30">
        <v>46144.58</v>
      </c>
      <c r="N52" s="30">
        <f t="shared" si="3"/>
        <v>-17394.580000000002</v>
      </c>
      <c r="O52" s="40">
        <f t="shared" si="7"/>
        <v>2.2071633959447202E-2</v>
      </c>
    </row>
    <row r="53" spans="1:15" ht="15.95" customHeight="1" x14ac:dyDescent="0.2">
      <c r="A53" s="43" t="s">
        <v>105</v>
      </c>
      <c r="B53" s="31" t="s">
        <v>57</v>
      </c>
      <c r="C53" s="30">
        <v>42500</v>
      </c>
      <c r="D53" s="30"/>
      <c r="E53" s="30"/>
      <c r="F53" s="46">
        <v>42500</v>
      </c>
      <c r="G53" s="46"/>
      <c r="H53" s="30"/>
      <c r="I53" s="30"/>
      <c r="J53" s="46"/>
      <c r="K53" s="46"/>
      <c r="L53" s="30">
        <f t="shared" si="6"/>
        <v>85000</v>
      </c>
      <c r="M53" s="30">
        <v>4900</v>
      </c>
      <c r="N53" s="30">
        <f t="shared" si="3"/>
        <v>80100</v>
      </c>
      <c r="O53" s="40">
        <f t="shared" si="7"/>
        <v>2.3437423507005868E-3</v>
      </c>
    </row>
    <row r="54" spans="1:15" ht="15.95" customHeight="1" x14ac:dyDescent="0.2">
      <c r="A54" s="43" t="s">
        <v>106</v>
      </c>
      <c r="B54" s="31" t="s">
        <v>58</v>
      </c>
      <c r="C54" s="30">
        <v>4400</v>
      </c>
      <c r="D54" s="30"/>
      <c r="E54" s="30"/>
      <c r="F54" s="46"/>
      <c r="G54" s="46"/>
      <c r="H54" s="30"/>
      <c r="I54" s="30"/>
      <c r="J54" s="46"/>
      <c r="K54" s="46"/>
      <c r="L54" s="30">
        <f t="shared" si="6"/>
        <v>4400</v>
      </c>
      <c r="M54" s="30">
        <v>1620</v>
      </c>
      <c r="N54" s="30">
        <f t="shared" si="3"/>
        <v>2780</v>
      </c>
      <c r="O54" s="40">
        <f t="shared" si="7"/>
        <v>7.7486992002754099E-4</v>
      </c>
    </row>
    <row r="55" spans="1:15" ht="15.95" customHeight="1" x14ac:dyDescent="0.2">
      <c r="A55" s="43" t="s">
        <v>107</v>
      </c>
      <c r="B55" s="31" t="s">
        <v>170</v>
      </c>
      <c r="C55" s="30">
        <v>3004.32</v>
      </c>
      <c r="D55" s="30"/>
      <c r="E55" s="30"/>
      <c r="F55" s="46"/>
      <c r="G55" s="46"/>
      <c r="H55" s="30"/>
      <c r="I55" s="30"/>
      <c r="J55" s="46"/>
      <c r="K55" s="46"/>
      <c r="L55" s="30">
        <f t="shared" si="6"/>
        <v>3004.32</v>
      </c>
      <c r="M55" s="30">
        <v>630</v>
      </c>
      <c r="N55" s="30">
        <f t="shared" si="3"/>
        <v>2374.3200000000002</v>
      </c>
      <c r="O55" s="40">
        <f t="shared" si="7"/>
        <v>3.0133830223293259E-4</v>
      </c>
    </row>
    <row r="56" spans="1:15" ht="15.95" customHeight="1" x14ac:dyDescent="0.2">
      <c r="A56" s="43" t="s">
        <v>108</v>
      </c>
      <c r="B56" s="31" t="s">
        <v>171</v>
      </c>
      <c r="C56" s="30">
        <v>7750</v>
      </c>
      <c r="D56" s="30"/>
      <c r="E56" s="30"/>
      <c r="F56" s="46">
        <v>20000</v>
      </c>
      <c r="G56" s="46"/>
      <c r="H56" s="30"/>
      <c r="I56" s="30"/>
      <c r="J56" s="46"/>
      <c r="K56" s="46"/>
      <c r="L56" s="30">
        <f t="shared" si="6"/>
        <v>27750</v>
      </c>
      <c r="M56" s="30">
        <v>2000</v>
      </c>
      <c r="N56" s="30">
        <f t="shared" si="3"/>
        <v>25750</v>
      </c>
      <c r="O56" s="40">
        <f t="shared" si="7"/>
        <v>9.5662953089819874E-4</v>
      </c>
    </row>
    <row r="57" spans="1:15" ht="15.95" customHeight="1" x14ac:dyDescent="0.2">
      <c r="A57" s="43" t="s">
        <v>109</v>
      </c>
      <c r="B57" s="31" t="s">
        <v>172</v>
      </c>
      <c r="C57" s="30">
        <v>7000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7000</v>
      </c>
      <c r="M57" s="30">
        <v>263.2</v>
      </c>
      <c r="N57" s="30">
        <f t="shared" si="3"/>
        <v>6736.8</v>
      </c>
      <c r="O57" s="40">
        <f t="shared" si="7"/>
        <v>1.2589244626620295E-4</v>
      </c>
    </row>
    <row r="58" spans="1:15" ht="15.95" customHeight="1" x14ac:dyDescent="0.2">
      <c r="A58" s="43" t="s">
        <v>110</v>
      </c>
      <c r="B58" s="31" t="s">
        <v>173</v>
      </c>
      <c r="C58" s="30">
        <v>4000</v>
      </c>
      <c r="D58" s="30"/>
      <c r="E58" s="30"/>
      <c r="F58" s="46">
        <v>3000</v>
      </c>
      <c r="G58" s="46"/>
      <c r="H58" s="30"/>
      <c r="I58" s="30"/>
      <c r="J58" s="46"/>
      <c r="K58" s="46"/>
      <c r="L58" s="30">
        <f t="shared" si="6"/>
        <v>7000</v>
      </c>
      <c r="M58" s="30">
        <v>1335</v>
      </c>
      <c r="N58" s="30">
        <f t="shared" si="3"/>
        <v>5665</v>
      </c>
      <c r="O58" s="40">
        <f t="shared" si="7"/>
        <v>6.3855021187454763E-4</v>
      </c>
    </row>
    <row r="59" spans="1:15" ht="15.95" hidden="1" customHeight="1" x14ac:dyDescent="0.2">
      <c r="A59" s="43" t="s">
        <v>111</v>
      </c>
      <c r="B59" s="31" t="s">
        <v>174</v>
      </c>
      <c r="C59" s="30"/>
      <c r="D59" s="30"/>
      <c r="E59" s="30"/>
      <c r="F59" s="46"/>
      <c r="G59" s="46"/>
      <c r="H59" s="30"/>
      <c r="I59" s="30"/>
      <c r="J59" s="46"/>
      <c r="K59" s="46"/>
      <c r="L59" s="30">
        <f t="shared" si="6"/>
        <v>0</v>
      </c>
      <c r="M59" s="30">
        <v>0</v>
      </c>
      <c r="N59" s="30">
        <f t="shared" si="3"/>
        <v>0</v>
      </c>
      <c r="O59" s="40">
        <f t="shared" si="7"/>
        <v>0</v>
      </c>
    </row>
    <row r="60" spans="1:15" ht="15.95" customHeight="1" x14ac:dyDescent="0.2">
      <c r="A60" s="43">
        <v>169</v>
      </c>
      <c r="B60" s="31" t="s">
        <v>271</v>
      </c>
      <c r="C60" s="30"/>
      <c r="D60" s="30"/>
      <c r="E60" s="30"/>
      <c r="F60" s="46">
        <v>10000</v>
      </c>
      <c r="G60" s="46"/>
      <c r="H60" s="30"/>
      <c r="I60" s="30"/>
      <c r="J60" s="46"/>
      <c r="K60" s="46"/>
      <c r="L60" s="30">
        <f t="shared" si="6"/>
        <v>10000</v>
      </c>
      <c r="M60" s="30"/>
      <c r="N60" s="30">
        <f t="shared" si="3"/>
        <v>10000</v>
      </c>
      <c r="O60" s="40"/>
    </row>
    <row r="61" spans="1:15" ht="15.95" customHeight="1" x14ac:dyDescent="0.2">
      <c r="A61" s="43">
        <v>171</v>
      </c>
      <c r="B61" s="31" t="s">
        <v>174</v>
      </c>
      <c r="C61" s="30"/>
      <c r="D61" s="30"/>
      <c r="E61" s="30"/>
      <c r="F61" s="46">
        <v>225000</v>
      </c>
      <c r="G61" s="46"/>
      <c r="H61" s="30"/>
      <c r="I61" s="30"/>
      <c r="J61" s="46"/>
      <c r="K61" s="46"/>
      <c r="L61" s="30">
        <f t="shared" si="6"/>
        <v>225000</v>
      </c>
      <c r="M61" s="30"/>
      <c r="N61" s="30">
        <f t="shared" si="3"/>
        <v>225000</v>
      </c>
      <c r="O61" s="40"/>
    </row>
    <row r="62" spans="1:15" ht="15.95" customHeight="1" x14ac:dyDescent="0.2">
      <c r="A62" s="43" t="s">
        <v>112</v>
      </c>
      <c r="B62" s="31" t="s">
        <v>175</v>
      </c>
      <c r="C62" s="30">
        <v>9750</v>
      </c>
      <c r="D62" s="30"/>
      <c r="E62" s="30"/>
      <c r="F62" s="46">
        <v>25000</v>
      </c>
      <c r="G62" s="46"/>
      <c r="H62" s="30"/>
      <c r="I62" s="30"/>
      <c r="J62" s="46"/>
      <c r="K62" s="46"/>
      <c r="L62" s="30">
        <f t="shared" si="6"/>
        <v>34750</v>
      </c>
      <c r="M62" s="30">
        <v>0</v>
      </c>
      <c r="N62" s="30">
        <f t="shared" si="3"/>
        <v>34750</v>
      </c>
      <c r="O62" s="40">
        <f t="shared" ref="O62:O77" si="8">M62/$M$136</f>
        <v>0</v>
      </c>
    </row>
    <row r="63" spans="1:15" ht="15.95" customHeight="1" x14ac:dyDescent="0.2">
      <c r="A63" s="43" t="s">
        <v>113</v>
      </c>
      <c r="B63" s="31" t="s">
        <v>176</v>
      </c>
      <c r="C63" s="30">
        <v>260706.83</v>
      </c>
      <c r="D63" s="30"/>
      <c r="E63" s="30"/>
      <c r="F63" s="46"/>
      <c r="G63" s="46"/>
      <c r="H63" s="30"/>
      <c r="I63" s="30"/>
      <c r="J63" s="46"/>
      <c r="K63" s="46"/>
      <c r="L63" s="30">
        <f t="shared" si="6"/>
        <v>260706.83</v>
      </c>
      <c r="M63" s="30">
        <v>0</v>
      </c>
      <c r="N63" s="30">
        <f t="shared" si="3"/>
        <v>260706.83</v>
      </c>
      <c r="O63" s="40">
        <f t="shared" si="8"/>
        <v>0</v>
      </c>
    </row>
    <row r="64" spans="1:15" ht="15.95" customHeight="1" x14ac:dyDescent="0.2">
      <c r="A64" s="43">
        <v>182</v>
      </c>
      <c r="B64" s="31" t="s">
        <v>255</v>
      </c>
      <c r="C64" s="30">
        <v>0</v>
      </c>
      <c r="D64" s="30">
        <v>2500</v>
      </c>
      <c r="E64" s="30"/>
      <c r="F64" s="46"/>
      <c r="G64" s="46"/>
      <c r="H64" s="30"/>
      <c r="I64" s="30"/>
      <c r="J64" s="46"/>
      <c r="K64" s="46"/>
      <c r="L64" s="30">
        <f t="shared" si="6"/>
        <v>2500</v>
      </c>
      <c r="M64" s="30">
        <v>0</v>
      </c>
      <c r="N64" s="30">
        <f t="shared" si="3"/>
        <v>2500</v>
      </c>
      <c r="O64" s="40">
        <f t="shared" si="8"/>
        <v>0</v>
      </c>
    </row>
    <row r="65" spans="1:15" ht="15.95" customHeight="1" x14ac:dyDescent="0.2">
      <c r="A65" s="43" t="s">
        <v>114</v>
      </c>
      <c r="B65" s="31" t="s">
        <v>177</v>
      </c>
      <c r="C65" s="30">
        <v>15000</v>
      </c>
      <c r="D65" s="30">
        <v>12000</v>
      </c>
      <c r="E65" s="30"/>
      <c r="F65" s="46"/>
      <c r="G65" s="46"/>
      <c r="H65" s="30"/>
      <c r="I65" s="30"/>
      <c r="J65" s="46"/>
      <c r="K65" s="46"/>
      <c r="L65" s="30">
        <f t="shared" si="6"/>
        <v>27000</v>
      </c>
      <c r="M65" s="30">
        <v>5350</v>
      </c>
      <c r="N65" s="30">
        <f t="shared" si="3"/>
        <v>21650</v>
      </c>
      <c r="O65" s="40">
        <f t="shared" si="8"/>
        <v>2.5589839951526815E-3</v>
      </c>
    </row>
    <row r="66" spans="1:15" ht="15.95" customHeight="1" x14ac:dyDescent="0.2">
      <c r="A66" s="43" t="s">
        <v>115</v>
      </c>
      <c r="B66" s="31" t="s">
        <v>178</v>
      </c>
      <c r="C66" s="30">
        <v>54000</v>
      </c>
      <c r="D66" s="30"/>
      <c r="E66" s="30"/>
      <c r="F66" s="46"/>
      <c r="G66" s="46"/>
      <c r="H66" s="30"/>
      <c r="I66" s="30"/>
      <c r="J66" s="46"/>
      <c r="K66" s="46"/>
      <c r="L66" s="30">
        <f t="shared" si="6"/>
        <v>54000</v>
      </c>
      <c r="M66" s="30">
        <v>36000</v>
      </c>
      <c r="N66" s="30">
        <f t="shared" si="3"/>
        <v>18000</v>
      </c>
      <c r="O66" s="40">
        <f t="shared" si="8"/>
        <v>1.7219331556167578E-2</v>
      </c>
    </row>
    <row r="67" spans="1:15" ht="15.95" customHeight="1" x14ac:dyDescent="0.2">
      <c r="A67" s="43" t="s">
        <v>116</v>
      </c>
      <c r="B67" s="31" t="s">
        <v>59</v>
      </c>
      <c r="C67" s="30">
        <v>7500</v>
      </c>
      <c r="D67" s="30"/>
      <c r="E67" s="30"/>
      <c r="F67" s="46"/>
      <c r="G67" s="46"/>
      <c r="H67" s="30"/>
      <c r="I67" s="30"/>
      <c r="J67" s="46"/>
      <c r="K67" s="46"/>
      <c r="L67" s="30">
        <f t="shared" si="6"/>
        <v>7500</v>
      </c>
      <c r="M67" s="30">
        <v>500</v>
      </c>
      <c r="N67" s="30">
        <f t="shared" si="3"/>
        <v>7000</v>
      </c>
      <c r="O67" s="40">
        <f t="shared" si="8"/>
        <v>2.3915738272454968E-4</v>
      </c>
    </row>
    <row r="68" spans="1:15" ht="15.95" customHeight="1" x14ac:dyDescent="0.2">
      <c r="A68" s="43" t="s">
        <v>117</v>
      </c>
      <c r="B68" s="31" t="s">
        <v>179</v>
      </c>
      <c r="C68" s="30">
        <v>24540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24540</v>
      </c>
      <c r="M68" s="30">
        <v>11142</v>
      </c>
      <c r="N68" s="30">
        <f t="shared" si="3"/>
        <v>13398</v>
      </c>
      <c r="O68" s="40">
        <f t="shared" si="8"/>
        <v>5.3293831166338649E-3</v>
      </c>
    </row>
    <row r="69" spans="1:15" ht="15.95" customHeight="1" x14ac:dyDescent="0.2">
      <c r="A69" s="43" t="s">
        <v>118</v>
      </c>
      <c r="B69" s="31" t="s">
        <v>180</v>
      </c>
      <c r="C69" s="30">
        <v>8000</v>
      </c>
      <c r="D69" s="30"/>
      <c r="E69" s="30"/>
      <c r="F69" s="46">
        <v>1836</v>
      </c>
      <c r="G69" s="46">
        <v>4400</v>
      </c>
      <c r="H69" s="30"/>
      <c r="I69" s="30"/>
      <c r="J69" s="46"/>
      <c r="K69" s="46"/>
      <c r="L69" s="30">
        <f t="shared" si="6"/>
        <v>5436</v>
      </c>
      <c r="M69" s="30">
        <v>3200</v>
      </c>
      <c r="N69" s="30">
        <f t="shared" si="3"/>
        <v>2236</v>
      </c>
      <c r="O69" s="40">
        <f t="shared" si="8"/>
        <v>1.5306072494371179E-3</v>
      </c>
    </row>
    <row r="70" spans="1:15" ht="15.95" customHeight="1" x14ac:dyDescent="0.2">
      <c r="A70" s="43" t="s">
        <v>119</v>
      </c>
      <c r="B70" s="31" t="s">
        <v>181</v>
      </c>
      <c r="C70" s="30">
        <v>8000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8000</v>
      </c>
      <c r="M70" s="30">
        <v>0</v>
      </c>
      <c r="N70" s="30">
        <f t="shared" si="3"/>
        <v>8000</v>
      </c>
      <c r="O70" s="40">
        <f t="shared" si="8"/>
        <v>0</v>
      </c>
    </row>
    <row r="71" spans="1:15" ht="15.95" customHeight="1" x14ac:dyDescent="0.2">
      <c r="A71" s="43" t="s">
        <v>120</v>
      </c>
      <c r="B71" s="31" t="s">
        <v>60</v>
      </c>
      <c r="C71" s="30">
        <v>225800</v>
      </c>
      <c r="D71" s="30">
        <v>17000</v>
      </c>
      <c r="E71" s="30"/>
      <c r="F71" s="46"/>
      <c r="G71" s="46">
        <v>1300</v>
      </c>
      <c r="H71" s="30"/>
      <c r="I71" s="30"/>
      <c r="J71" s="46"/>
      <c r="K71" s="46"/>
      <c r="L71" s="30">
        <f t="shared" si="6"/>
        <v>241500</v>
      </c>
      <c r="M71" s="30">
        <v>165217.5</v>
      </c>
      <c r="N71" s="30">
        <f t="shared" si="3"/>
        <v>76282.5</v>
      </c>
      <c r="O71" s="40">
        <f t="shared" si="8"/>
        <v>7.9025969760586581E-2</v>
      </c>
    </row>
    <row r="72" spans="1:15" ht="15.95" customHeight="1" x14ac:dyDescent="0.2">
      <c r="A72" s="43" t="s">
        <v>121</v>
      </c>
      <c r="B72" s="31" t="s">
        <v>182</v>
      </c>
      <c r="C72" s="30">
        <v>8250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8250</v>
      </c>
      <c r="M72" s="30">
        <v>0</v>
      </c>
      <c r="N72" s="30">
        <f t="shared" si="3"/>
        <v>8250</v>
      </c>
      <c r="O72" s="40">
        <f t="shared" si="8"/>
        <v>0</v>
      </c>
    </row>
    <row r="73" spans="1:15" ht="15.95" customHeight="1" x14ac:dyDescent="0.2">
      <c r="A73" s="43" t="s">
        <v>122</v>
      </c>
      <c r="B73" s="31" t="s">
        <v>183</v>
      </c>
      <c r="C73" s="30">
        <v>2500</v>
      </c>
      <c r="D73" s="30"/>
      <c r="E73" s="30"/>
      <c r="F73" s="46"/>
      <c r="G73" s="46"/>
      <c r="H73" s="30"/>
      <c r="I73" s="30"/>
      <c r="J73" s="46"/>
      <c r="K73" s="46"/>
      <c r="L73" s="30">
        <f t="shared" si="6"/>
        <v>2500</v>
      </c>
      <c r="M73" s="30">
        <v>1517.64</v>
      </c>
      <c r="N73" s="30">
        <f t="shared" si="3"/>
        <v>982.3599999999999</v>
      </c>
      <c r="O73" s="40">
        <f t="shared" si="8"/>
        <v>7.259096206361712E-4</v>
      </c>
    </row>
    <row r="74" spans="1:15" ht="15.95" customHeight="1" x14ac:dyDescent="0.2">
      <c r="A74" s="43" t="s">
        <v>123</v>
      </c>
      <c r="B74" s="31" t="s">
        <v>61</v>
      </c>
      <c r="C74" s="30">
        <v>7000</v>
      </c>
      <c r="D74" s="30"/>
      <c r="E74" s="30"/>
      <c r="F74" s="46">
        <v>50000</v>
      </c>
      <c r="G74" s="46"/>
      <c r="H74" s="30"/>
      <c r="I74" s="30"/>
      <c r="J74" s="46"/>
      <c r="K74" s="46"/>
      <c r="L74" s="30">
        <f t="shared" si="6"/>
        <v>57000</v>
      </c>
      <c r="M74" s="30">
        <v>47437.47</v>
      </c>
      <c r="N74" s="30">
        <f t="shared" si="3"/>
        <v>9562.5299999999988</v>
      </c>
      <c r="O74" s="40">
        <f t="shared" si="8"/>
        <v>2.2690042336548689E-2</v>
      </c>
    </row>
    <row r="75" spans="1:15" ht="15.95" customHeight="1" x14ac:dyDescent="0.2">
      <c r="A75" s="43" t="s">
        <v>124</v>
      </c>
      <c r="B75" s="31" t="s">
        <v>184</v>
      </c>
      <c r="C75" s="30">
        <v>2000</v>
      </c>
      <c r="D75" s="30"/>
      <c r="E75" s="30"/>
      <c r="F75" s="46"/>
      <c r="G75" s="46"/>
      <c r="H75" s="30"/>
      <c r="I75" s="30"/>
      <c r="J75" s="46"/>
      <c r="K75" s="46"/>
      <c r="L75" s="30">
        <f t="shared" si="6"/>
        <v>2000</v>
      </c>
      <c r="M75" s="30">
        <v>0</v>
      </c>
      <c r="N75" s="30">
        <f t="shared" si="3"/>
        <v>2000</v>
      </c>
      <c r="O75" s="40">
        <f t="shared" si="8"/>
        <v>0</v>
      </c>
    </row>
    <row r="76" spans="1:15" ht="15.95" customHeight="1" x14ac:dyDescent="0.2">
      <c r="A76" s="43" t="s">
        <v>185</v>
      </c>
      <c r="B76" s="31" t="s">
        <v>157</v>
      </c>
      <c r="C76" s="30">
        <v>89500</v>
      </c>
      <c r="D76" s="30"/>
      <c r="E76" s="30"/>
      <c r="F76" s="46"/>
      <c r="G76" s="46"/>
      <c r="H76" s="30"/>
      <c r="I76" s="30"/>
      <c r="J76" s="46"/>
      <c r="K76" s="46"/>
      <c r="L76" s="30">
        <f t="shared" si="6"/>
        <v>89500</v>
      </c>
      <c r="M76" s="30">
        <f>14925+14925</f>
        <v>29850</v>
      </c>
      <c r="N76" s="30">
        <f t="shared" si="3"/>
        <v>59650</v>
      </c>
      <c r="O76" s="40">
        <f t="shared" si="8"/>
        <v>1.4277695748655617E-2</v>
      </c>
    </row>
    <row r="77" spans="1:15" ht="15.95" customHeight="1" x14ac:dyDescent="0.2">
      <c r="A77" s="43" t="s">
        <v>125</v>
      </c>
      <c r="B77" s="31" t="s">
        <v>186</v>
      </c>
      <c r="C77" s="30">
        <v>21000</v>
      </c>
      <c r="D77" s="30">
        <v>3500</v>
      </c>
      <c r="E77" s="30"/>
      <c r="F77" s="46">
        <f>15000+100000</f>
        <v>115000</v>
      </c>
      <c r="G77" s="46">
        <v>6000</v>
      </c>
      <c r="H77" s="30"/>
      <c r="I77" s="30"/>
      <c r="J77" s="46"/>
      <c r="K77" s="46"/>
      <c r="L77" s="30">
        <f t="shared" si="6"/>
        <v>133500</v>
      </c>
      <c r="M77" s="30">
        <v>23737.759999999998</v>
      </c>
      <c r="N77" s="30">
        <f t="shared" si="3"/>
        <v>109762.24000000001</v>
      </c>
      <c r="O77" s="40">
        <f t="shared" si="8"/>
        <v>1.1354121106687012E-2</v>
      </c>
    </row>
    <row r="78" spans="1:15" ht="15.95" customHeight="1" x14ac:dyDescent="0.2">
      <c r="A78" s="43"/>
      <c r="B78" s="31"/>
      <c r="C78" s="30"/>
      <c r="D78" s="30"/>
      <c r="E78" s="30"/>
      <c r="F78" s="46"/>
      <c r="G78" s="46"/>
      <c r="H78" s="30"/>
      <c r="I78" s="30"/>
      <c r="J78" s="46"/>
      <c r="K78" s="46"/>
      <c r="L78" s="30"/>
      <c r="M78" s="30"/>
      <c r="N78" s="30"/>
      <c r="O78" s="40"/>
    </row>
    <row r="79" spans="1:15" ht="15.95" customHeight="1" x14ac:dyDescent="0.2">
      <c r="A79" s="43"/>
      <c r="B79" s="31"/>
      <c r="C79" s="30"/>
      <c r="D79" s="30"/>
      <c r="E79" s="30"/>
      <c r="F79" s="46"/>
      <c r="G79" s="46"/>
      <c r="H79" s="30"/>
      <c r="I79" s="30"/>
      <c r="J79" s="46"/>
      <c r="K79" s="46"/>
      <c r="L79" s="30"/>
      <c r="M79" s="30"/>
      <c r="N79" s="30"/>
      <c r="O79" s="40"/>
    </row>
    <row r="80" spans="1:15" ht="15.95" customHeight="1" x14ac:dyDescent="0.25">
      <c r="A80" s="41">
        <v>2</v>
      </c>
      <c r="B80" s="42" t="s">
        <v>62</v>
      </c>
      <c r="C80" s="28"/>
      <c r="D80" s="30"/>
      <c r="E80" s="30"/>
      <c r="F80" s="46"/>
      <c r="G80" s="46"/>
      <c r="H80" s="30"/>
      <c r="I80" s="30"/>
      <c r="J80" s="46"/>
      <c r="K80" s="46"/>
      <c r="L80" s="30"/>
      <c r="M80" s="30"/>
      <c r="N80" s="30"/>
      <c r="O80" s="40"/>
    </row>
    <row r="81" spans="1:15" ht="15.95" customHeight="1" x14ac:dyDescent="0.2">
      <c r="A81" s="43" t="s">
        <v>126</v>
      </c>
      <c r="B81" s="31" t="s">
        <v>63</v>
      </c>
      <c r="C81" s="30">
        <v>114414.1</v>
      </c>
      <c r="D81" s="30"/>
      <c r="E81" s="30"/>
      <c r="F81" s="46"/>
      <c r="G81" s="46">
        <v>29550.1</v>
      </c>
      <c r="H81" s="30"/>
      <c r="I81" s="30"/>
      <c r="J81" s="46"/>
      <c r="K81" s="46"/>
      <c r="L81" s="30">
        <f t="shared" ref="L81:L117" si="9">C81+D81-E81+F81-G81+H81-I81+J81-K81</f>
        <v>84864</v>
      </c>
      <c r="M81" s="30">
        <v>22889.05</v>
      </c>
      <c r="N81" s="30">
        <f t="shared" si="3"/>
        <v>61974.95</v>
      </c>
      <c r="O81" s="40">
        <f t="shared" ref="O81:O117" si="10">M81/$M$136</f>
        <v>1.0948170582102708E-2</v>
      </c>
    </row>
    <row r="82" spans="1:15" ht="15.95" hidden="1" customHeight="1" x14ac:dyDescent="0.2">
      <c r="A82" s="43">
        <v>214</v>
      </c>
      <c r="B82" s="31" t="s">
        <v>198</v>
      </c>
      <c r="C82" s="30"/>
      <c r="D82" s="30"/>
      <c r="E82" s="30"/>
      <c r="F82" s="46"/>
      <c r="G82" s="46"/>
      <c r="H82" s="30"/>
      <c r="I82" s="30"/>
      <c r="J82" s="46"/>
      <c r="K82" s="46"/>
      <c r="L82" s="30">
        <f t="shared" si="9"/>
        <v>0</v>
      </c>
      <c r="M82" s="30">
        <v>0</v>
      </c>
      <c r="N82" s="30">
        <f t="shared" si="3"/>
        <v>0</v>
      </c>
      <c r="O82" s="40">
        <f t="shared" si="10"/>
        <v>0</v>
      </c>
    </row>
    <row r="83" spans="1:15" ht="15.95" customHeight="1" x14ac:dyDescent="0.2">
      <c r="A83" s="43">
        <v>223</v>
      </c>
      <c r="B83" s="31" t="s">
        <v>199</v>
      </c>
      <c r="C83" s="30">
        <v>0</v>
      </c>
      <c r="D83" s="30">
        <v>1500</v>
      </c>
      <c r="E83" s="30"/>
      <c r="F83" s="46">
        <v>2000</v>
      </c>
      <c r="G83" s="46"/>
      <c r="H83" s="30"/>
      <c r="I83" s="30"/>
      <c r="J83" s="46"/>
      <c r="K83" s="46"/>
      <c r="L83" s="30">
        <f t="shared" si="9"/>
        <v>3500</v>
      </c>
      <c r="M83" s="30">
        <v>100</v>
      </c>
      <c r="N83" s="30">
        <f t="shared" si="3"/>
        <v>3400</v>
      </c>
      <c r="O83" s="40">
        <f t="shared" si="10"/>
        <v>4.7831476544909934E-5</v>
      </c>
    </row>
    <row r="84" spans="1:15" ht="15.95" hidden="1" customHeight="1" x14ac:dyDescent="0.2">
      <c r="A84" s="43">
        <v>229</v>
      </c>
      <c r="B84" s="31" t="s">
        <v>200</v>
      </c>
      <c r="C84" s="30"/>
      <c r="D84" s="30"/>
      <c r="E84" s="30"/>
      <c r="F84" s="46"/>
      <c r="G84" s="46"/>
      <c r="H84" s="30"/>
      <c r="I84" s="30"/>
      <c r="J84" s="46"/>
      <c r="K84" s="46"/>
      <c r="L84" s="30">
        <f t="shared" si="9"/>
        <v>0</v>
      </c>
      <c r="M84" s="30">
        <v>0</v>
      </c>
      <c r="N84" s="30">
        <f t="shared" si="3"/>
        <v>0</v>
      </c>
      <c r="O84" s="40">
        <f t="shared" si="10"/>
        <v>0</v>
      </c>
    </row>
    <row r="85" spans="1:15" ht="15.95" customHeight="1" x14ac:dyDescent="0.2">
      <c r="A85" s="43" t="s">
        <v>127</v>
      </c>
      <c r="B85" s="31" t="s">
        <v>64</v>
      </c>
      <c r="C85" s="30">
        <v>2750</v>
      </c>
      <c r="D85" s="30"/>
      <c r="E85" s="30"/>
      <c r="F85" s="46">
        <v>5000</v>
      </c>
      <c r="G85" s="46"/>
      <c r="H85" s="30"/>
      <c r="I85" s="30"/>
      <c r="J85" s="46"/>
      <c r="K85" s="46"/>
      <c r="L85" s="30">
        <f t="shared" si="9"/>
        <v>7750</v>
      </c>
      <c r="M85" s="30">
        <v>1055.48</v>
      </c>
      <c r="N85" s="30">
        <f t="shared" si="3"/>
        <v>6694.52</v>
      </c>
      <c r="O85" s="40">
        <f t="shared" si="10"/>
        <v>5.0485166863621547E-4</v>
      </c>
    </row>
    <row r="86" spans="1:15" ht="15.95" customHeight="1" x14ac:dyDescent="0.2">
      <c r="A86" s="43" t="s">
        <v>128</v>
      </c>
      <c r="B86" s="31" t="s">
        <v>65</v>
      </c>
      <c r="C86" s="30">
        <v>16800</v>
      </c>
      <c r="D86" s="30"/>
      <c r="E86" s="30"/>
      <c r="F86" s="46">
        <v>10000</v>
      </c>
      <c r="G86" s="46"/>
      <c r="H86" s="30"/>
      <c r="I86" s="30"/>
      <c r="J86" s="46"/>
      <c r="K86" s="46"/>
      <c r="L86" s="30">
        <f t="shared" si="9"/>
        <v>26800</v>
      </c>
      <c r="M86" s="30">
        <v>608</v>
      </c>
      <c r="N86" s="30">
        <f t="shared" si="3"/>
        <v>26192</v>
      </c>
      <c r="O86" s="40">
        <f t="shared" si="10"/>
        <v>2.908153773930524E-4</v>
      </c>
    </row>
    <row r="87" spans="1:15" ht="15.95" customHeight="1" x14ac:dyDescent="0.2">
      <c r="A87" s="43" t="s">
        <v>129</v>
      </c>
      <c r="B87" s="31" t="s">
        <v>66</v>
      </c>
      <c r="C87" s="30">
        <v>5250</v>
      </c>
      <c r="D87" s="30"/>
      <c r="E87" s="30"/>
      <c r="F87" s="46">
        <v>10000</v>
      </c>
      <c r="G87" s="46"/>
      <c r="H87" s="30"/>
      <c r="I87" s="30"/>
      <c r="J87" s="46"/>
      <c r="K87" s="46"/>
      <c r="L87" s="30">
        <f t="shared" si="9"/>
        <v>15250</v>
      </c>
      <c r="M87" s="30">
        <v>1377.6</v>
      </c>
      <c r="N87" s="30">
        <f t="shared" si="3"/>
        <v>13872.4</v>
      </c>
      <c r="O87" s="40">
        <f t="shared" si="10"/>
        <v>6.5892642088267929E-4</v>
      </c>
    </row>
    <row r="88" spans="1:15" ht="15.95" customHeight="1" x14ac:dyDescent="0.2">
      <c r="A88" s="43" t="s">
        <v>130</v>
      </c>
      <c r="B88" s="31" t="s">
        <v>67</v>
      </c>
      <c r="C88" s="30">
        <v>1500</v>
      </c>
      <c r="D88" s="30"/>
      <c r="E88" s="30"/>
      <c r="F88" s="46">
        <f>4000+5000</f>
        <v>9000</v>
      </c>
      <c r="G88" s="46"/>
      <c r="H88" s="30"/>
      <c r="I88" s="30"/>
      <c r="J88" s="46"/>
      <c r="K88" s="46"/>
      <c r="L88" s="30">
        <f t="shared" si="9"/>
        <v>10500</v>
      </c>
      <c r="M88" s="30">
        <v>2466.14</v>
      </c>
      <c r="N88" s="30">
        <f t="shared" si="3"/>
        <v>8033.8600000000006</v>
      </c>
      <c r="O88" s="40">
        <f t="shared" si="10"/>
        <v>1.1795911756646419E-3</v>
      </c>
    </row>
    <row r="89" spans="1:15" ht="15.95" customHeight="1" x14ac:dyDescent="0.2">
      <c r="A89" s="43" t="s">
        <v>131</v>
      </c>
      <c r="B89" s="31" t="s">
        <v>201</v>
      </c>
      <c r="C89" s="30">
        <v>3050</v>
      </c>
      <c r="D89" s="30"/>
      <c r="E89" s="30"/>
      <c r="F89" s="46"/>
      <c r="G89" s="46"/>
      <c r="H89" s="30"/>
      <c r="I89" s="30"/>
      <c r="J89" s="46"/>
      <c r="K89" s="46"/>
      <c r="L89" s="30">
        <f t="shared" si="9"/>
        <v>3050</v>
      </c>
      <c r="M89" s="30">
        <v>1028.9000000000001</v>
      </c>
      <c r="N89" s="30">
        <f t="shared" si="3"/>
        <v>2021.1</v>
      </c>
      <c r="O89" s="40">
        <f t="shared" si="10"/>
        <v>4.921380621705784E-4</v>
      </c>
    </row>
    <row r="90" spans="1:15" ht="15.95" customHeight="1" x14ac:dyDescent="0.2">
      <c r="A90" s="43" t="s">
        <v>132</v>
      </c>
      <c r="B90" s="31" t="s">
        <v>68</v>
      </c>
      <c r="C90" s="30">
        <v>875</v>
      </c>
      <c r="D90" s="30"/>
      <c r="E90" s="30"/>
      <c r="F90" s="46"/>
      <c r="G90" s="46"/>
      <c r="H90" s="30"/>
      <c r="I90" s="30"/>
      <c r="J90" s="46"/>
      <c r="K90" s="46"/>
      <c r="L90" s="30">
        <f t="shared" si="9"/>
        <v>875</v>
      </c>
      <c r="M90" s="30">
        <v>35</v>
      </c>
      <c r="N90" s="30">
        <f t="shared" si="3"/>
        <v>840</v>
      </c>
      <c r="O90" s="40">
        <f t="shared" si="10"/>
        <v>1.6741016790718478E-5</v>
      </c>
    </row>
    <row r="91" spans="1:15" ht="15.95" customHeight="1" x14ac:dyDescent="0.2">
      <c r="A91" s="43" t="s">
        <v>133</v>
      </c>
      <c r="B91" s="31" t="s">
        <v>202</v>
      </c>
      <c r="C91" s="30">
        <v>5500</v>
      </c>
      <c r="D91" s="30"/>
      <c r="E91" s="30"/>
      <c r="F91" s="46">
        <v>2000</v>
      </c>
      <c r="G91" s="46"/>
      <c r="H91" s="30"/>
      <c r="I91" s="30"/>
      <c r="J91" s="46"/>
      <c r="K91" s="46"/>
      <c r="L91" s="30">
        <f t="shared" si="9"/>
        <v>7500</v>
      </c>
      <c r="M91" s="30">
        <v>324</v>
      </c>
      <c r="N91" s="30">
        <f t="shared" si="3"/>
        <v>7176</v>
      </c>
      <c r="O91" s="40">
        <f t="shared" si="10"/>
        <v>1.5497398400550819E-4</v>
      </c>
    </row>
    <row r="92" spans="1:15" ht="15.95" customHeight="1" x14ac:dyDescent="0.2">
      <c r="A92" s="43" t="s">
        <v>134</v>
      </c>
      <c r="B92" s="31" t="s">
        <v>69</v>
      </c>
      <c r="C92" s="30">
        <v>2700</v>
      </c>
      <c r="D92" s="30"/>
      <c r="E92" s="30"/>
      <c r="F92" s="46"/>
      <c r="G92" s="46"/>
      <c r="H92" s="30"/>
      <c r="I92" s="30"/>
      <c r="J92" s="46"/>
      <c r="K92" s="46"/>
      <c r="L92" s="30">
        <f t="shared" si="9"/>
        <v>2700</v>
      </c>
      <c r="M92" s="30">
        <v>290</v>
      </c>
      <c r="N92" s="30">
        <f t="shared" si="3"/>
        <v>2410</v>
      </c>
      <c r="O92" s="40">
        <f t="shared" si="10"/>
        <v>1.3871128198023882E-4</v>
      </c>
    </row>
    <row r="93" spans="1:15" ht="15.95" customHeight="1" x14ac:dyDescent="0.2">
      <c r="A93" s="43" t="s">
        <v>203</v>
      </c>
      <c r="B93" s="31" t="s">
        <v>204</v>
      </c>
      <c r="C93" s="30">
        <v>2800</v>
      </c>
      <c r="D93" s="30"/>
      <c r="E93" s="30"/>
      <c r="F93" s="46">
        <v>2000</v>
      </c>
      <c r="G93" s="46"/>
      <c r="H93" s="30"/>
      <c r="I93" s="30"/>
      <c r="J93" s="46"/>
      <c r="K93" s="46"/>
      <c r="L93" s="30">
        <f t="shared" si="9"/>
        <v>4800</v>
      </c>
      <c r="M93" s="30">
        <v>202</v>
      </c>
      <c r="N93" s="30">
        <f t="shared" si="3"/>
        <v>4598</v>
      </c>
      <c r="O93" s="40">
        <f t="shared" si="10"/>
        <v>9.6619582620718073E-5</v>
      </c>
    </row>
    <row r="94" spans="1:15" ht="15.95" customHeight="1" x14ac:dyDescent="0.2">
      <c r="A94" s="43" t="s">
        <v>135</v>
      </c>
      <c r="B94" s="31" t="s">
        <v>70</v>
      </c>
      <c r="C94" s="30">
        <v>8500</v>
      </c>
      <c r="D94" s="30"/>
      <c r="E94" s="30"/>
      <c r="F94" s="46">
        <v>2000</v>
      </c>
      <c r="G94" s="46"/>
      <c r="H94" s="30"/>
      <c r="I94" s="30"/>
      <c r="J94" s="46"/>
      <c r="K94" s="46"/>
      <c r="L94" s="30">
        <f t="shared" si="9"/>
        <v>10500</v>
      </c>
      <c r="M94" s="30">
        <v>3547.95</v>
      </c>
      <c r="N94" s="30">
        <f t="shared" si="3"/>
        <v>6952.05</v>
      </c>
      <c r="O94" s="40">
        <f t="shared" si="10"/>
        <v>1.697036872075132E-3</v>
      </c>
    </row>
    <row r="95" spans="1:15" ht="15.95" customHeight="1" x14ac:dyDescent="0.2">
      <c r="A95" s="43" t="s">
        <v>136</v>
      </c>
      <c r="B95" s="31" t="s">
        <v>205</v>
      </c>
      <c r="C95" s="30">
        <v>2000</v>
      </c>
      <c r="D95" s="30"/>
      <c r="E95" s="30"/>
      <c r="F95" s="46">
        <v>6000</v>
      </c>
      <c r="G95" s="46"/>
      <c r="H95" s="30"/>
      <c r="I95" s="30"/>
      <c r="J95" s="46"/>
      <c r="K95" s="46"/>
      <c r="L95" s="30">
        <f t="shared" si="9"/>
        <v>8000</v>
      </c>
      <c r="M95" s="30">
        <v>1979.11</v>
      </c>
      <c r="N95" s="30">
        <f t="shared" si="3"/>
        <v>6020.89</v>
      </c>
      <c r="O95" s="40">
        <f t="shared" si="10"/>
        <v>9.4663753544796706E-4</v>
      </c>
    </row>
    <row r="96" spans="1:15" ht="15.95" customHeight="1" x14ac:dyDescent="0.2">
      <c r="A96" s="43" t="s">
        <v>137</v>
      </c>
      <c r="B96" s="31" t="s">
        <v>71</v>
      </c>
      <c r="C96" s="30">
        <v>17500</v>
      </c>
      <c r="D96" s="30"/>
      <c r="E96" s="30"/>
      <c r="F96" s="46"/>
      <c r="G96" s="46"/>
      <c r="H96" s="30"/>
      <c r="I96" s="30"/>
      <c r="J96" s="46"/>
      <c r="K96" s="46"/>
      <c r="L96" s="30">
        <f t="shared" si="9"/>
        <v>17500</v>
      </c>
      <c r="M96" s="30">
        <v>3393.13</v>
      </c>
      <c r="N96" s="30">
        <f t="shared" si="3"/>
        <v>14106.869999999999</v>
      </c>
      <c r="O96" s="40">
        <f t="shared" si="10"/>
        <v>1.6229841800883026E-3</v>
      </c>
    </row>
    <row r="97" spans="1:15" ht="15.95" customHeight="1" x14ac:dyDescent="0.2">
      <c r="A97" s="43" t="s">
        <v>138</v>
      </c>
      <c r="B97" s="31" t="s">
        <v>206</v>
      </c>
      <c r="C97" s="30">
        <v>3000</v>
      </c>
      <c r="D97" s="30"/>
      <c r="E97" s="30"/>
      <c r="F97" s="46"/>
      <c r="G97" s="46"/>
      <c r="H97" s="30"/>
      <c r="I97" s="30"/>
      <c r="J97" s="46"/>
      <c r="K97" s="46"/>
      <c r="L97" s="30">
        <f t="shared" si="9"/>
        <v>3000</v>
      </c>
      <c r="M97" s="30">
        <v>1636.7</v>
      </c>
      <c r="N97" s="30">
        <f t="shared" si="3"/>
        <v>1363.3</v>
      </c>
      <c r="O97" s="40">
        <f t="shared" si="10"/>
        <v>7.8285777661054093E-4</v>
      </c>
    </row>
    <row r="98" spans="1:15" ht="15.95" customHeight="1" x14ac:dyDescent="0.2">
      <c r="A98" s="43" t="s">
        <v>139</v>
      </c>
      <c r="B98" s="31" t="s">
        <v>207</v>
      </c>
      <c r="C98" s="30">
        <v>1500</v>
      </c>
      <c r="D98" s="30"/>
      <c r="E98" s="30"/>
      <c r="F98" s="46">
        <v>2000</v>
      </c>
      <c r="G98" s="46"/>
      <c r="H98" s="30"/>
      <c r="I98" s="30"/>
      <c r="J98" s="46"/>
      <c r="K98" s="46"/>
      <c r="L98" s="30">
        <f t="shared" si="9"/>
        <v>3500</v>
      </c>
      <c r="M98" s="30">
        <v>169</v>
      </c>
      <c r="N98" s="30">
        <f t="shared" ref="N98:N135" si="11">L98-M98</f>
        <v>3331</v>
      </c>
      <c r="O98" s="40">
        <f t="shared" si="10"/>
        <v>8.0835195360897796E-5</v>
      </c>
    </row>
    <row r="99" spans="1:15" ht="15.95" customHeight="1" x14ac:dyDescent="0.2">
      <c r="A99" s="43" t="s">
        <v>140</v>
      </c>
      <c r="B99" s="31" t="s">
        <v>72</v>
      </c>
      <c r="C99" s="30">
        <v>210345</v>
      </c>
      <c r="D99" s="30"/>
      <c r="E99" s="30"/>
      <c r="F99" s="46"/>
      <c r="G99" s="46"/>
      <c r="H99" s="30"/>
      <c r="I99" s="30"/>
      <c r="J99" s="46"/>
      <c r="K99" s="46"/>
      <c r="L99" s="30">
        <f t="shared" si="9"/>
        <v>210345</v>
      </c>
      <c r="M99" s="30">
        <v>89968.29</v>
      </c>
      <c r="N99" s="30">
        <f t="shared" si="11"/>
        <v>120376.71</v>
      </c>
      <c r="O99" s="40">
        <f t="shared" si="10"/>
        <v>4.3033161529206547E-2</v>
      </c>
    </row>
    <row r="100" spans="1:15" ht="15.95" hidden="1" customHeight="1" x14ac:dyDescent="0.2">
      <c r="A100" s="43">
        <v>272</v>
      </c>
      <c r="B100" s="31" t="s">
        <v>208</v>
      </c>
      <c r="C100" s="30"/>
      <c r="D100" s="30"/>
      <c r="E100" s="30"/>
      <c r="F100" s="46"/>
      <c r="G100" s="46"/>
      <c r="H100" s="30"/>
      <c r="I100" s="30"/>
      <c r="J100" s="46"/>
      <c r="K100" s="46"/>
      <c r="L100" s="30">
        <f t="shared" si="9"/>
        <v>0</v>
      </c>
      <c r="M100" s="30">
        <v>0</v>
      </c>
      <c r="N100" s="30">
        <f t="shared" si="11"/>
        <v>0</v>
      </c>
      <c r="O100" s="40">
        <f t="shared" si="10"/>
        <v>0</v>
      </c>
    </row>
    <row r="101" spans="1:15" ht="15.95" hidden="1" customHeight="1" x14ac:dyDescent="0.2">
      <c r="A101" s="43" t="s">
        <v>141</v>
      </c>
      <c r="B101" s="31" t="s">
        <v>209</v>
      </c>
      <c r="C101" s="30"/>
      <c r="D101" s="30"/>
      <c r="E101" s="30"/>
      <c r="F101" s="46"/>
      <c r="G101" s="46"/>
      <c r="H101" s="30"/>
      <c r="I101" s="30"/>
      <c r="J101" s="46"/>
      <c r="K101" s="46"/>
      <c r="L101" s="30">
        <f t="shared" si="9"/>
        <v>0</v>
      </c>
      <c r="M101" s="30">
        <v>0</v>
      </c>
      <c r="N101" s="30">
        <f t="shared" si="11"/>
        <v>0</v>
      </c>
      <c r="O101" s="40">
        <f t="shared" si="10"/>
        <v>0</v>
      </c>
    </row>
    <row r="102" spans="1:15" ht="15.95" customHeight="1" x14ac:dyDescent="0.2">
      <c r="A102" s="43">
        <v>274</v>
      </c>
      <c r="B102" s="31" t="s">
        <v>73</v>
      </c>
      <c r="C102" s="30">
        <v>1500</v>
      </c>
      <c r="D102" s="30"/>
      <c r="E102" s="30"/>
      <c r="F102" s="46"/>
      <c r="G102" s="46"/>
      <c r="H102" s="30"/>
      <c r="I102" s="30"/>
      <c r="J102" s="46"/>
      <c r="K102" s="46"/>
      <c r="L102" s="30">
        <f t="shared" si="9"/>
        <v>1500</v>
      </c>
      <c r="M102" s="30">
        <v>237</v>
      </c>
      <c r="N102" s="30">
        <f t="shared" si="11"/>
        <v>1263</v>
      </c>
      <c r="O102" s="40">
        <f t="shared" si="10"/>
        <v>1.1336059941143655E-4</v>
      </c>
    </row>
    <row r="103" spans="1:15" ht="15.95" hidden="1" customHeight="1" x14ac:dyDescent="0.2">
      <c r="A103" s="43">
        <v>275</v>
      </c>
      <c r="B103" s="31" t="s">
        <v>210</v>
      </c>
      <c r="C103" s="30"/>
      <c r="D103" s="30"/>
      <c r="E103" s="30"/>
      <c r="F103" s="46"/>
      <c r="G103" s="46"/>
      <c r="H103" s="30"/>
      <c r="I103" s="30"/>
      <c r="J103" s="46"/>
      <c r="K103" s="46"/>
      <c r="L103" s="30">
        <f t="shared" si="9"/>
        <v>0</v>
      </c>
      <c r="M103" s="30">
        <v>0</v>
      </c>
      <c r="N103" s="30">
        <f t="shared" si="11"/>
        <v>0</v>
      </c>
      <c r="O103" s="40">
        <f t="shared" si="10"/>
        <v>0</v>
      </c>
    </row>
    <row r="104" spans="1:15" ht="15.95" customHeight="1" x14ac:dyDescent="0.2">
      <c r="A104" s="43">
        <v>279</v>
      </c>
      <c r="B104" s="31" t="s">
        <v>211</v>
      </c>
      <c r="C104" s="30">
        <v>750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9"/>
        <v>750</v>
      </c>
      <c r="M104" s="30">
        <v>0</v>
      </c>
      <c r="N104" s="30">
        <f t="shared" si="11"/>
        <v>750</v>
      </c>
      <c r="O104" s="40">
        <f t="shared" si="10"/>
        <v>0</v>
      </c>
    </row>
    <row r="105" spans="1:15" ht="15.95" hidden="1" customHeight="1" x14ac:dyDescent="0.2">
      <c r="A105" s="43">
        <v>281</v>
      </c>
      <c r="B105" s="31" t="s">
        <v>212</v>
      </c>
      <c r="C105" s="30"/>
      <c r="D105" s="30"/>
      <c r="E105" s="30"/>
      <c r="F105" s="46"/>
      <c r="G105" s="46"/>
      <c r="H105" s="30"/>
      <c r="I105" s="30"/>
      <c r="J105" s="46"/>
      <c r="K105" s="46"/>
      <c r="L105" s="30">
        <f t="shared" si="9"/>
        <v>0</v>
      </c>
      <c r="M105" s="30">
        <v>0</v>
      </c>
      <c r="N105" s="30">
        <f t="shared" si="11"/>
        <v>0</v>
      </c>
      <c r="O105" s="40">
        <f t="shared" si="10"/>
        <v>0</v>
      </c>
    </row>
    <row r="106" spans="1:15" ht="15.95" customHeight="1" x14ac:dyDescent="0.2">
      <c r="A106" s="43" t="s">
        <v>142</v>
      </c>
      <c r="B106" s="31" t="s">
        <v>213</v>
      </c>
      <c r="C106" s="30">
        <v>1800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9"/>
        <v>1800</v>
      </c>
      <c r="M106" s="30">
        <v>216.9</v>
      </c>
      <c r="N106" s="30">
        <f t="shared" si="11"/>
        <v>1583.1</v>
      </c>
      <c r="O106" s="40">
        <f t="shared" si="10"/>
        <v>1.0374647262590966E-4</v>
      </c>
    </row>
    <row r="107" spans="1:15" ht="15.95" customHeight="1" x14ac:dyDescent="0.2">
      <c r="A107" s="43" t="s">
        <v>143</v>
      </c>
      <c r="B107" s="31" t="s">
        <v>74</v>
      </c>
      <c r="C107" s="30">
        <v>8800</v>
      </c>
      <c r="D107" s="30">
        <v>15000</v>
      </c>
      <c r="E107" s="30"/>
      <c r="F107" s="46">
        <v>10000</v>
      </c>
      <c r="G107" s="46"/>
      <c r="H107" s="30"/>
      <c r="I107" s="30"/>
      <c r="J107" s="46"/>
      <c r="K107" s="46"/>
      <c r="L107" s="30">
        <f t="shared" si="9"/>
        <v>33800</v>
      </c>
      <c r="M107" s="30">
        <v>2189.8200000000002</v>
      </c>
      <c r="N107" s="30">
        <f t="shared" si="11"/>
        <v>31610.18</v>
      </c>
      <c r="O107" s="40">
        <f t="shared" si="10"/>
        <v>1.0474232396757469E-3</v>
      </c>
    </row>
    <row r="108" spans="1:15" ht="15.95" customHeight="1" x14ac:dyDescent="0.2">
      <c r="A108" s="43" t="s">
        <v>144</v>
      </c>
      <c r="B108" s="31" t="s">
        <v>75</v>
      </c>
      <c r="C108" s="30">
        <v>800821.67999999993</v>
      </c>
      <c r="D108" s="30"/>
      <c r="E108" s="30"/>
      <c r="F108" s="46">
        <v>106800</v>
      </c>
      <c r="G108" s="46">
        <v>7621</v>
      </c>
      <c r="H108" s="30"/>
      <c r="I108" s="30"/>
      <c r="J108" s="46"/>
      <c r="K108" s="46"/>
      <c r="L108" s="30">
        <f t="shared" si="9"/>
        <v>900000.67999999993</v>
      </c>
      <c r="M108" s="30">
        <v>0</v>
      </c>
      <c r="N108" s="30">
        <f t="shared" si="11"/>
        <v>900000.67999999993</v>
      </c>
      <c r="O108" s="40">
        <f t="shared" si="10"/>
        <v>0</v>
      </c>
    </row>
    <row r="109" spans="1:15" ht="15.95" customHeight="1" x14ac:dyDescent="0.2">
      <c r="A109" s="43">
        <v>286</v>
      </c>
      <c r="B109" s="31" t="s">
        <v>214</v>
      </c>
      <c r="C109" s="30">
        <v>1500</v>
      </c>
      <c r="D109" s="30"/>
      <c r="E109" s="30"/>
      <c r="F109" s="46">
        <v>3000</v>
      </c>
      <c r="G109" s="46"/>
      <c r="H109" s="30"/>
      <c r="I109" s="30"/>
      <c r="J109" s="46"/>
      <c r="K109" s="46"/>
      <c r="L109" s="30">
        <f t="shared" si="9"/>
        <v>4500</v>
      </c>
      <c r="M109" s="30">
        <v>132.80000000000001</v>
      </c>
      <c r="N109" s="30">
        <f t="shared" si="11"/>
        <v>4367.2</v>
      </c>
      <c r="O109" s="40">
        <f t="shared" si="10"/>
        <v>6.3520200851640402E-5</v>
      </c>
    </row>
    <row r="110" spans="1:15" ht="15.95" hidden="1" customHeight="1" x14ac:dyDescent="0.2">
      <c r="A110" s="43">
        <v>289</v>
      </c>
      <c r="B110" s="31" t="s">
        <v>215</v>
      </c>
      <c r="C110" s="30"/>
      <c r="D110" s="30"/>
      <c r="E110" s="30"/>
      <c r="F110" s="46"/>
      <c r="G110" s="46"/>
      <c r="H110" s="30"/>
      <c r="I110" s="30"/>
      <c r="J110" s="46"/>
      <c r="K110" s="46"/>
      <c r="L110" s="30">
        <f t="shared" si="9"/>
        <v>0</v>
      </c>
      <c r="M110" s="30">
        <v>0</v>
      </c>
      <c r="N110" s="30">
        <f t="shared" si="11"/>
        <v>0</v>
      </c>
      <c r="O110" s="40">
        <f t="shared" si="10"/>
        <v>0</v>
      </c>
    </row>
    <row r="111" spans="1:15" ht="15.95" customHeight="1" x14ac:dyDescent="0.2">
      <c r="A111" s="43" t="s">
        <v>145</v>
      </c>
      <c r="B111" s="31" t="s">
        <v>76</v>
      </c>
      <c r="C111" s="30">
        <v>6600</v>
      </c>
      <c r="D111" s="30"/>
      <c r="E111" s="30"/>
      <c r="F111" s="46">
        <v>5000</v>
      </c>
      <c r="G111" s="46"/>
      <c r="H111" s="30"/>
      <c r="I111" s="30"/>
      <c r="J111" s="46"/>
      <c r="K111" s="46"/>
      <c r="L111" s="30">
        <f t="shared" si="9"/>
        <v>11600</v>
      </c>
      <c r="M111" s="30">
        <v>3043.36</v>
      </c>
      <c r="N111" s="30">
        <f t="shared" si="11"/>
        <v>8556.64</v>
      </c>
      <c r="O111" s="40">
        <f t="shared" si="10"/>
        <v>1.4556840245771711E-3</v>
      </c>
    </row>
    <row r="112" spans="1:15" ht="15.95" customHeight="1" x14ac:dyDescent="0.2">
      <c r="A112" s="43" t="s">
        <v>146</v>
      </c>
      <c r="B112" s="31" t="s">
        <v>216</v>
      </c>
      <c r="C112" s="30">
        <v>2000</v>
      </c>
      <c r="D112" s="30"/>
      <c r="E112" s="30"/>
      <c r="F112" s="46">
        <v>6000</v>
      </c>
      <c r="G112" s="46"/>
      <c r="H112" s="30"/>
      <c r="I112" s="30"/>
      <c r="J112" s="46"/>
      <c r="K112" s="46"/>
      <c r="L112" s="30">
        <f t="shared" si="9"/>
        <v>8000</v>
      </c>
      <c r="M112" s="30">
        <v>2320.35</v>
      </c>
      <c r="N112" s="30">
        <f t="shared" si="11"/>
        <v>5679.65</v>
      </c>
      <c r="O112" s="40">
        <f t="shared" si="10"/>
        <v>1.1098576660098177E-3</v>
      </c>
    </row>
    <row r="113" spans="1:15" ht="15.95" customHeight="1" x14ac:dyDescent="0.2">
      <c r="A113" s="43" t="s">
        <v>147</v>
      </c>
      <c r="B113" s="31" t="s">
        <v>77</v>
      </c>
      <c r="C113" s="30">
        <v>115251.9</v>
      </c>
      <c r="D113" s="30">
        <f>4500+21000+10000</f>
        <v>35500</v>
      </c>
      <c r="E113" s="30"/>
      <c r="F113" s="46"/>
      <c r="G113" s="46">
        <v>3150</v>
      </c>
      <c r="H113" s="30"/>
      <c r="I113" s="30"/>
      <c r="J113" s="46"/>
      <c r="K113" s="46"/>
      <c r="L113" s="30">
        <f t="shared" si="9"/>
        <v>147601.9</v>
      </c>
      <c r="M113" s="30">
        <v>83978.79</v>
      </c>
      <c r="N113" s="30">
        <f t="shared" si="11"/>
        <v>63623.11</v>
      </c>
      <c r="O113" s="40">
        <f t="shared" si="10"/>
        <v>4.0168295241549169E-2</v>
      </c>
    </row>
    <row r="114" spans="1:15" ht="15.95" customHeight="1" x14ac:dyDescent="0.2">
      <c r="A114" s="43" t="s">
        <v>148</v>
      </c>
      <c r="B114" s="31" t="s">
        <v>78</v>
      </c>
      <c r="C114" s="30">
        <v>2000</v>
      </c>
      <c r="D114" s="30"/>
      <c r="E114" s="30"/>
      <c r="F114" s="46">
        <v>3000</v>
      </c>
      <c r="G114" s="46"/>
      <c r="H114" s="30"/>
      <c r="I114" s="30"/>
      <c r="J114" s="46"/>
      <c r="K114" s="46"/>
      <c r="L114" s="30">
        <f t="shared" si="9"/>
        <v>5000</v>
      </c>
      <c r="M114" s="30">
        <v>0</v>
      </c>
      <c r="N114" s="30">
        <f t="shared" si="11"/>
        <v>5000</v>
      </c>
      <c r="O114" s="40">
        <f t="shared" si="10"/>
        <v>0</v>
      </c>
    </row>
    <row r="115" spans="1:15" ht="15.95" customHeight="1" x14ac:dyDescent="0.2">
      <c r="A115" s="43" t="s">
        <v>149</v>
      </c>
      <c r="B115" s="31" t="s">
        <v>217</v>
      </c>
      <c r="C115" s="30">
        <v>9500</v>
      </c>
      <c r="D115" s="30">
        <v>20000</v>
      </c>
      <c r="E115" s="30"/>
      <c r="F115" s="46">
        <v>5000</v>
      </c>
      <c r="G115" s="46"/>
      <c r="H115" s="30"/>
      <c r="I115" s="30"/>
      <c r="J115" s="46"/>
      <c r="K115" s="46"/>
      <c r="L115" s="30">
        <f t="shared" si="9"/>
        <v>34500</v>
      </c>
      <c r="M115" s="30">
        <v>108.45</v>
      </c>
      <c r="N115" s="30">
        <f t="shared" si="11"/>
        <v>34391.550000000003</v>
      </c>
      <c r="O115" s="40">
        <f t="shared" si="10"/>
        <v>5.187323631295483E-5</v>
      </c>
    </row>
    <row r="116" spans="1:15" ht="15.95" customHeight="1" x14ac:dyDescent="0.2">
      <c r="A116" s="43" t="s">
        <v>150</v>
      </c>
      <c r="B116" s="31" t="s">
        <v>79</v>
      </c>
      <c r="C116" s="30">
        <v>101000</v>
      </c>
      <c r="D116" s="30"/>
      <c r="E116" s="30"/>
      <c r="F116" s="46">
        <v>358296.72</v>
      </c>
      <c r="G116" s="46"/>
      <c r="H116" s="30"/>
      <c r="I116" s="30"/>
      <c r="J116" s="46"/>
      <c r="K116" s="46"/>
      <c r="L116" s="30">
        <f t="shared" si="9"/>
        <v>459296.72</v>
      </c>
      <c r="M116" s="30">
        <v>5316.97</v>
      </c>
      <c r="N116" s="30">
        <f t="shared" si="11"/>
        <v>453979.75</v>
      </c>
      <c r="O116" s="40">
        <f t="shared" si="10"/>
        <v>2.5431852584498981E-3</v>
      </c>
    </row>
    <row r="117" spans="1:15" ht="15.95" customHeight="1" x14ac:dyDescent="0.2">
      <c r="A117" s="43" t="s">
        <v>151</v>
      </c>
      <c r="B117" s="31" t="s">
        <v>80</v>
      </c>
      <c r="C117" s="30">
        <v>11500</v>
      </c>
      <c r="D117" s="30"/>
      <c r="E117" s="30"/>
      <c r="F117" s="46">
        <v>25000</v>
      </c>
      <c r="G117" s="46"/>
      <c r="H117" s="30"/>
      <c r="I117" s="30"/>
      <c r="J117" s="46"/>
      <c r="K117" s="46"/>
      <c r="L117" s="30">
        <f t="shared" si="9"/>
        <v>36500</v>
      </c>
      <c r="M117" s="30">
        <v>5101.32</v>
      </c>
      <c r="N117" s="30">
        <f t="shared" si="11"/>
        <v>31398.68</v>
      </c>
      <c r="O117" s="40">
        <f t="shared" si="10"/>
        <v>2.4400366792807996E-3</v>
      </c>
    </row>
    <row r="118" spans="1:15" ht="15.95" customHeight="1" x14ac:dyDescent="0.2">
      <c r="A118" s="43"/>
      <c r="B118" s="31"/>
      <c r="C118" s="30"/>
      <c r="D118" s="30"/>
      <c r="E118" s="30"/>
      <c r="F118" s="46"/>
      <c r="G118" s="46"/>
      <c r="H118" s="30"/>
      <c r="I118" s="30"/>
      <c r="J118" s="46"/>
      <c r="K118" s="46"/>
      <c r="L118" s="30"/>
      <c r="M118" s="30"/>
      <c r="N118" s="30"/>
      <c r="O118" s="40"/>
    </row>
    <row r="119" spans="1:15" ht="15.95" customHeight="1" x14ac:dyDescent="0.2">
      <c r="A119" s="43"/>
      <c r="B119" s="31"/>
      <c r="C119" s="30"/>
      <c r="D119" s="30"/>
      <c r="E119" s="30"/>
      <c r="F119" s="46"/>
      <c r="G119" s="46"/>
      <c r="H119" s="30"/>
      <c r="I119" s="30"/>
      <c r="J119" s="46"/>
      <c r="K119" s="46"/>
      <c r="L119" s="30"/>
      <c r="M119" s="30"/>
      <c r="N119" s="30"/>
      <c r="O119" s="40"/>
    </row>
    <row r="120" spans="1:15" ht="15.95" customHeight="1" x14ac:dyDescent="0.2">
      <c r="A120" s="43"/>
      <c r="B120" s="31"/>
      <c r="C120" s="30"/>
      <c r="D120" s="30"/>
      <c r="E120" s="30"/>
      <c r="F120" s="46"/>
      <c r="G120" s="46"/>
      <c r="H120" s="30"/>
      <c r="I120" s="30"/>
      <c r="J120" s="46"/>
      <c r="K120" s="46"/>
      <c r="L120" s="30"/>
      <c r="M120" s="30"/>
      <c r="N120" s="30"/>
      <c r="O120" s="40"/>
    </row>
    <row r="121" spans="1:15" ht="15.95" customHeight="1" x14ac:dyDescent="0.25">
      <c r="A121" s="41">
        <v>3</v>
      </c>
      <c r="B121" s="42" t="s">
        <v>81</v>
      </c>
      <c r="C121" s="28"/>
      <c r="D121" s="30"/>
      <c r="E121" s="30"/>
      <c r="F121" s="46"/>
      <c r="G121" s="46"/>
      <c r="H121" s="30"/>
      <c r="I121" s="30"/>
      <c r="J121" s="46"/>
      <c r="K121" s="46"/>
      <c r="L121" s="30"/>
      <c r="M121" s="30"/>
      <c r="N121" s="30"/>
      <c r="O121" s="40"/>
    </row>
    <row r="122" spans="1:15" ht="15.95" customHeight="1" x14ac:dyDescent="0.2">
      <c r="A122" s="44" t="s">
        <v>218</v>
      </c>
      <c r="B122" s="45" t="s">
        <v>219</v>
      </c>
      <c r="C122" s="46">
        <v>10000</v>
      </c>
      <c r="D122" s="30"/>
      <c r="E122" s="30"/>
      <c r="F122" s="46">
        <f>20000+10000</f>
        <v>30000</v>
      </c>
      <c r="G122" s="46"/>
      <c r="H122" s="30"/>
      <c r="I122" s="30"/>
      <c r="J122" s="46"/>
      <c r="K122" s="46"/>
      <c r="L122" s="30">
        <f t="shared" ref="L122:L135" si="12">C122+D122-E122+F122-G122+J122-K122</f>
        <v>40000</v>
      </c>
      <c r="M122" s="30">
        <v>1299</v>
      </c>
      <c r="N122" s="30">
        <f t="shared" si="11"/>
        <v>38701</v>
      </c>
      <c r="O122" s="40">
        <f>M122/$M$136</f>
        <v>6.2133088031838006E-4</v>
      </c>
    </row>
    <row r="123" spans="1:15" ht="15.95" hidden="1" customHeight="1" x14ac:dyDescent="0.2">
      <c r="A123" s="44" t="s">
        <v>82</v>
      </c>
      <c r="B123" s="45" t="s">
        <v>220</v>
      </c>
      <c r="C123" s="46">
        <v>0</v>
      </c>
      <c r="D123" s="30"/>
      <c r="E123" s="30"/>
      <c r="F123" s="46"/>
      <c r="G123" s="46"/>
      <c r="H123" s="30"/>
      <c r="I123" s="30"/>
      <c r="J123" s="46"/>
      <c r="K123" s="46"/>
      <c r="L123" s="30">
        <f t="shared" si="12"/>
        <v>0</v>
      </c>
      <c r="M123" s="30">
        <v>0</v>
      </c>
      <c r="N123" s="30">
        <f t="shared" si="11"/>
        <v>0</v>
      </c>
      <c r="O123" s="40">
        <f>M123/$M$136</f>
        <v>0</v>
      </c>
    </row>
    <row r="124" spans="1:15" ht="15.95" customHeight="1" x14ac:dyDescent="0.2">
      <c r="A124" s="44" t="s">
        <v>221</v>
      </c>
      <c r="B124" s="45" t="s">
        <v>222</v>
      </c>
      <c r="C124" s="46">
        <v>54035</v>
      </c>
      <c r="D124" s="30"/>
      <c r="E124" s="30"/>
      <c r="F124" s="46">
        <v>120000</v>
      </c>
      <c r="G124" s="46"/>
      <c r="H124" s="30"/>
      <c r="I124" s="30"/>
      <c r="J124" s="46"/>
      <c r="K124" s="46"/>
      <c r="L124" s="30">
        <f t="shared" si="12"/>
        <v>174035</v>
      </c>
      <c r="M124" s="30">
        <f>35472.21</f>
        <v>35472.21</v>
      </c>
      <c r="N124" s="30">
        <f t="shared" si="11"/>
        <v>138562.79</v>
      </c>
      <c r="O124" s="40">
        <f>M124/$M$136</f>
        <v>1.6966881806111198E-2</v>
      </c>
    </row>
    <row r="125" spans="1:15" ht="15.95" customHeight="1" x14ac:dyDescent="0.2">
      <c r="A125" s="44" t="s">
        <v>223</v>
      </c>
      <c r="B125" s="45" t="s">
        <v>224</v>
      </c>
      <c r="C125" s="46">
        <v>1500</v>
      </c>
      <c r="D125" s="30"/>
      <c r="E125" s="30"/>
      <c r="F125" s="46"/>
      <c r="G125" s="46"/>
      <c r="H125" s="30"/>
      <c r="I125" s="30"/>
      <c r="J125" s="46"/>
      <c r="K125" s="46"/>
      <c r="L125" s="30">
        <f t="shared" si="12"/>
        <v>1500</v>
      </c>
      <c r="M125" s="30">
        <v>0</v>
      </c>
      <c r="N125" s="30">
        <f t="shared" si="11"/>
        <v>1500</v>
      </c>
      <c r="O125" s="40">
        <f>M125/$M$136</f>
        <v>0</v>
      </c>
    </row>
    <row r="126" spans="1:15" ht="15.95" customHeight="1" x14ac:dyDescent="0.2">
      <c r="A126" s="44">
        <v>328</v>
      </c>
      <c r="B126" s="45" t="s">
        <v>254</v>
      </c>
      <c r="C126" s="46">
        <v>0</v>
      </c>
      <c r="D126" s="30">
        <v>3000</v>
      </c>
      <c r="E126" s="30"/>
      <c r="F126" s="46"/>
      <c r="G126" s="46"/>
      <c r="H126" s="30"/>
      <c r="I126" s="30"/>
      <c r="J126" s="46"/>
      <c r="K126" s="46"/>
      <c r="L126" s="30">
        <f t="shared" si="12"/>
        <v>3000</v>
      </c>
      <c r="M126" s="30"/>
      <c r="N126" s="30">
        <f t="shared" si="11"/>
        <v>3000</v>
      </c>
      <c r="O126" s="40"/>
    </row>
    <row r="127" spans="1:15" ht="15.95" customHeight="1" x14ac:dyDescent="0.2">
      <c r="A127" s="44" t="s">
        <v>225</v>
      </c>
      <c r="B127" s="45" t="s">
        <v>226</v>
      </c>
      <c r="C127" s="46">
        <v>14300</v>
      </c>
      <c r="D127" s="30">
        <f>3000+16000</f>
        <v>19000</v>
      </c>
      <c r="E127" s="30"/>
      <c r="F127" s="46">
        <v>42000</v>
      </c>
      <c r="G127" s="46"/>
      <c r="H127" s="30"/>
      <c r="I127" s="30"/>
      <c r="J127" s="46"/>
      <c r="K127" s="46"/>
      <c r="L127" s="30">
        <f t="shared" si="12"/>
        <v>75300</v>
      </c>
      <c r="M127" s="30">
        <v>8536.8799999999992</v>
      </c>
      <c r="N127" s="30">
        <f t="shared" si="11"/>
        <v>66763.12</v>
      </c>
      <c r="O127" s="40">
        <f>M127/$M$136</f>
        <v>4.0833157548671069E-3</v>
      </c>
    </row>
    <row r="128" spans="1:15" ht="15.95" hidden="1" customHeight="1" x14ac:dyDescent="0.2">
      <c r="A128" s="44" t="s">
        <v>227</v>
      </c>
      <c r="B128" s="45" t="s">
        <v>228</v>
      </c>
      <c r="C128" s="46">
        <v>0</v>
      </c>
      <c r="D128" s="30"/>
      <c r="E128" s="30"/>
      <c r="F128" s="46"/>
      <c r="G128" s="46"/>
      <c r="H128" s="30"/>
      <c r="I128" s="30"/>
      <c r="J128" s="46"/>
      <c r="K128" s="46"/>
      <c r="L128" s="30">
        <f t="shared" si="12"/>
        <v>0</v>
      </c>
      <c r="M128" s="30">
        <v>0</v>
      </c>
      <c r="N128" s="30">
        <f t="shared" si="11"/>
        <v>0</v>
      </c>
      <c r="O128" s="40">
        <f>M128/$M$136</f>
        <v>0</v>
      </c>
    </row>
    <row r="129" spans="1:15" ht="15.95" customHeight="1" x14ac:dyDescent="0.2">
      <c r="A129" s="44"/>
      <c r="B129" s="45"/>
      <c r="C129" s="46"/>
      <c r="D129" s="30"/>
      <c r="E129" s="30"/>
      <c r="F129" s="46"/>
      <c r="G129" s="46"/>
      <c r="H129" s="30"/>
      <c r="I129" s="30"/>
      <c r="J129" s="46"/>
      <c r="K129" s="46"/>
      <c r="L129" s="30"/>
      <c r="M129" s="30"/>
      <c r="N129" s="30"/>
      <c r="O129" s="40"/>
    </row>
    <row r="130" spans="1:15" ht="15.95" customHeight="1" x14ac:dyDescent="0.2">
      <c r="A130" s="43"/>
      <c r="B130" s="31"/>
      <c r="C130" s="30"/>
      <c r="D130" s="30"/>
      <c r="E130" s="30"/>
      <c r="F130" s="46"/>
      <c r="G130" s="46"/>
      <c r="H130" s="30"/>
      <c r="I130" s="30"/>
      <c r="J130" s="46"/>
      <c r="K130" s="46"/>
      <c r="L130" s="30"/>
      <c r="M130" s="30"/>
      <c r="N130" s="30"/>
      <c r="O130" s="40"/>
    </row>
    <row r="131" spans="1:15" ht="15.95" customHeight="1" x14ac:dyDescent="0.25">
      <c r="A131" s="41">
        <v>4</v>
      </c>
      <c r="B131" s="42" t="s">
        <v>83</v>
      </c>
      <c r="C131" s="28"/>
      <c r="D131" s="30"/>
      <c r="E131" s="30"/>
      <c r="F131" s="46"/>
      <c r="G131" s="46"/>
      <c r="H131" s="30"/>
      <c r="I131" s="30"/>
      <c r="J131" s="46"/>
      <c r="K131" s="46"/>
      <c r="L131" s="30"/>
      <c r="M131" s="30"/>
      <c r="N131" s="30"/>
      <c r="O131" s="40"/>
    </row>
    <row r="132" spans="1:15" ht="15.95" customHeight="1" x14ac:dyDescent="0.2">
      <c r="A132" s="43" t="s">
        <v>229</v>
      </c>
      <c r="B132" s="31" t="s">
        <v>84</v>
      </c>
      <c r="C132" s="30">
        <v>140900</v>
      </c>
      <c r="D132" s="30"/>
      <c r="E132" s="30"/>
      <c r="F132" s="46">
        <v>180620.2</v>
      </c>
      <c r="G132" s="46"/>
      <c r="H132" s="30"/>
      <c r="I132" s="30"/>
      <c r="J132" s="46"/>
      <c r="K132" s="46"/>
      <c r="L132" s="30">
        <f t="shared" si="12"/>
        <v>321520.2</v>
      </c>
      <c r="M132" s="30">
        <v>61719.78</v>
      </c>
      <c r="N132" s="30">
        <f t="shared" si="11"/>
        <v>259800.42</v>
      </c>
      <c r="O132" s="40">
        <f>M132/$M$136</f>
        <v>2.9521482094270014E-2</v>
      </c>
    </row>
    <row r="133" spans="1:15" ht="15.95" customHeight="1" x14ac:dyDescent="0.2">
      <c r="A133" s="43" t="s">
        <v>230</v>
      </c>
      <c r="B133" s="31" t="s">
        <v>231</v>
      </c>
      <c r="C133" s="30">
        <v>7170</v>
      </c>
      <c r="D133" s="30"/>
      <c r="E133" s="30"/>
      <c r="F133" s="30"/>
      <c r="G133" s="30"/>
      <c r="H133" s="30"/>
      <c r="I133" s="30"/>
      <c r="J133" s="46"/>
      <c r="K133" s="46"/>
      <c r="L133" s="30">
        <f t="shared" si="12"/>
        <v>7170</v>
      </c>
      <c r="M133" s="30">
        <v>3718.87</v>
      </c>
      <c r="N133" s="30">
        <f t="shared" si="11"/>
        <v>3451.13</v>
      </c>
      <c r="O133" s="40">
        <f>M133/$M$136</f>
        <v>1.7787904317856922E-3</v>
      </c>
    </row>
    <row r="134" spans="1:15" ht="15.95" customHeight="1" x14ac:dyDescent="0.2">
      <c r="A134" s="43" t="s">
        <v>232</v>
      </c>
      <c r="B134" s="31" t="s">
        <v>233</v>
      </c>
      <c r="C134" s="30">
        <v>163700</v>
      </c>
      <c r="D134" s="30"/>
      <c r="E134" s="30"/>
      <c r="F134" s="30"/>
      <c r="G134" s="30"/>
      <c r="H134" s="30"/>
      <c r="I134" s="30"/>
      <c r="J134" s="46"/>
      <c r="K134" s="46"/>
      <c r="L134" s="30">
        <f t="shared" si="12"/>
        <v>163700</v>
      </c>
      <c r="M134" s="30">
        <v>36389.14</v>
      </c>
      <c r="N134" s="30">
        <f t="shared" si="11"/>
        <v>127310.86</v>
      </c>
      <c r="O134" s="40">
        <f>M134/$M$136</f>
        <v>1.740546296399444E-2</v>
      </c>
    </row>
    <row r="135" spans="1:15" ht="15.95" customHeight="1" thickBot="1" x14ac:dyDescent="0.25">
      <c r="A135" s="43" t="s">
        <v>234</v>
      </c>
      <c r="B135" s="31" t="s">
        <v>235</v>
      </c>
      <c r="C135" s="30">
        <v>8750</v>
      </c>
      <c r="D135" s="30"/>
      <c r="E135" s="30"/>
      <c r="F135" s="30"/>
      <c r="G135" s="30"/>
      <c r="H135" s="30"/>
      <c r="I135" s="30"/>
      <c r="J135" s="46"/>
      <c r="K135" s="46"/>
      <c r="L135" s="30">
        <f t="shared" si="12"/>
        <v>8750</v>
      </c>
      <c r="M135" s="30">
        <v>1924.74</v>
      </c>
      <c r="N135" s="30">
        <f t="shared" si="11"/>
        <v>6825.26</v>
      </c>
      <c r="O135" s="40">
        <f>M135/$M$136</f>
        <v>9.2063156165049953E-4</v>
      </c>
    </row>
    <row r="136" spans="1:15" ht="18" customHeight="1" thickBot="1" x14ac:dyDescent="0.3">
      <c r="A136" s="34"/>
      <c r="B136" s="35" t="s">
        <v>94</v>
      </c>
      <c r="C136" s="36">
        <f t="shared" ref="C136:N136" si="13">SUM(C31:C135)</f>
        <v>6416776.6099999994</v>
      </c>
      <c r="D136" s="36">
        <f t="shared" si="13"/>
        <v>129000</v>
      </c>
      <c r="E136" s="36">
        <f t="shared" si="13"/>
        <v>129000</v>
      </c>
      <c r="F136" s="36">
        <f t="shared" si="13"/>
        <v>1468277.92</v>
      </c>
      <c r="G136" s="36">
        <f t="shared" si="13"/>
        <v>1468277.92</v>
      </c>
      <c r="H136" s="36">
        <f t="shared" si="13"/>
        <v>0</v>
      </c>
      <c r="I136" s="36">
        <f t="shared" si="13"/>
        <v>0</v>
      </c>
      <c r="J136" s="71">
        <f t="shared" si="13"/>
        <v>0</v>
      </c>
      <c r="K136" s="71">
        <f t="shared" si="13"/>
        <v>0</v>
      </c>
      <c r="L136" s="36">
        <f t="shared" si="13"/>
        <v>6416776.6100000003</v>
      </c>
      <c r="M136" s="36">
        <f t="shared" si="13"/>
        <v>2090673.49</v>
      </c>
      <c r="N136" s="36">
        <f t="shared" si="13"/>
        <v>4326103.120000001</v>
      </c>
      <c r="O136" s="47">
        <v>1</v>
      </c>
    </row>
    <row r="137" spans="1:15" x14ac:dyDescent="0.2">
      <c r="A137" s="48"/>
      <c r="B137" s="85"/>
      <c r="C137" s="88"/>
      <c r="D137" s="86"/>
      <c r="E137" s="49"/>
      <c r="F137" s="49"/>
      <c r="G137" s="49"/>
      <c r="H137" s="49"/>
      <c r="I137" s="49"/>
      <c r="J137" s="72"/>
      <c r="K137" s="72"/>
      <c r="L137" s="49"/>
      <c r="M137" s="49"/>
      <c r="N137" s="49"/>
    </row>
    <row r="138" spans="1:15" ht="15.75" thickBot="1" x14ac:dyDescent="0.25">
      <c r="B138" s="87"/>
      <c r="C138" s="87"/>
      <c r="D138" s="87"/>
      <c r="E138" s="12"/>
      <c r="F138" s="4"/>
      <c r="L138" s="15"/>
      <c r="M138" s="4"/>
    </row>
    <row r="139" spans="1:15" ht="15.75" x14ac:dyDescent="0.25">
      <c r="A139" s="1" t="s">
        <v>85</v>
      </c>
      <c r="B139" s="2"/>
      <c r="C139" s="3"/>
      <c r="D139" s="4"/>
      <c r="E139" s="4"/>
      <c r="F139" s="4"/>
      <c r="G139" s="4"/>
      <c r="H139" s="4"/>
      <c r="I139" s="4"/>
      <c r="J139" s="73"/>
      <c r="K139" s="73"/>
      <c r="L139" s="4"/>
      <c r="M139" s="4"/>
    </row>
    <row r="140" spans="1:15" ht="15.75" x14ac:dyDescent="0.25">
      <c r="A140" s="5" t="s">
        <v>2</v>
      </c>
      <c r="B140" s="6"/>
      <c r="C140" s="7"/>
      <c r="D140" s="4"/>
      <c r="E140" s="4"/>
      <c r="F140" s="4"/>
      <c r="G140" s="4"/>
      <c r="H140" s="4"/>
      <c r="I140" s="4"/>
      <c r="J140" s="73"/>
      <c r="K140" s="73"/>
      <c r="L140" s="4"/>
      <c r="M140" s="4"/>
    </row>
    <row r="141" spans="1:15" ht="5.0999999999999996" customHeight="1" thickBot="1" x14ac:dyDescent="0.25">
      <c r="A141" s="8"/>
      <c r="B141" s="9"/>
      <c r="C141" s="10"/>
      <c r="D141" s="4"/>
      <c r="E141" s="4"/>
      <c r="F141" s="4"/>
      <c r="G141" s="4"/>
      <c r="H141" s="4"/>
      <c r="I141" s="4"/>
      <c r="J141" s="73"/>
      <c r="K141" s="73"/>
      <c r="L141" s="4"/>
      <c r="M141" s="4"/>
    </row>
    <row r="142" spans="1:15" ht="6.95" customHeight="1" x14ac:dyDescent="0.2">
      <c r="A142" s="51"/>
      <c r="B142" s="52"/>
      <c r="C142" s="53"/>
      <c r="D142" s="4"/>
      <c r="E142" s="4"/>
      <c r="F142" s="4"/>
      <c r="G142" s="4"/>
      <c r="H142" s="4"/>
      <c r="I142" s="4"/>
      <c r="J142" s="73"/>
      <c r="K142" s="73"/>
      <c r="L142" s="4"/>
      <c r="M142" s="4"/>
    </row>
    <row r="143" spans="1:15" x14ac:dyDescent="0.2">
      <c r="A143" s="54" t="s">
        <v>86</v>
      </c>
      <c r="B143" s="55"/>
      <c r="C143" s="56"/>
      <c r="D143" s="4"/>
      <c r="E143" s="4"/>
      <c r="F143" s="4"/>
      <c r="G143" s="4"/>
      <c r="H143" s="4"/>
      <c r="I143" s="4"/>
      <c r="J143" s="73"/>
      <c r="K143" s="73"/>
      <c r="L143" s="4"/>
    </row>
    <row r="144" spans="1:15" x14ac:dyDescent="0.2">
      <c r="A144" s="57" t="s">
        <v>236</v>
      </c>
      <c r="B144" s="55"/>
      <c r="C144" s="76">
        <f>260706.83+1025276.81</f>
        <v>1285983.6400000001</v>
      </c>
      <c r="D144" s="49"/>
      <c r="E144" s="4"/>
      <c r="F144" s="4"/>
      <c r="G144" s="4"/>
      <c r="H144" s="4"/>
      <c r="I144" s="4"/>
      <c r="J144" s="73"/>
      <c r="K144" s="73"/>
      <c r="L144" s="4"/>
    </row>
    <row r="145" spans="1:12" x14ac:dyDescent="0.2">
      <c r="A145" s="57" t="s">
        <v>256</v>
      </c>
      <c r="B145" s="55"/>
      <c r="C145" s="76">
        <f>50710.94-4603.19-39.95</f>
        <v>46067.8</v>
      </c>
      <c r="D145" s="49"/>
      <c r="E145" s="4"/>
      <c r="F145" s="4"/>
      <c r="G145" s="4"/>
      <c r="H145" s="4"/>
      <c r="I145" s="4"/>
      <c r="J145" s="73"/>
      <c r="K145" s="73"/>
      <c r="L145" s="4"/>
    </row>
    <row r="146" spans="1:12" x14ac:dyDescent="0.2">
      <c r="A146" s="97" t="s">
        <v>267</v>
      </c>
      <c r="B146" s="55"/>
      <c r="C146" s="76">
        <v>-23005.8</v>
      </c>
      <c r="D146" s="49"/>
      <c r="E146" s="4"/>
      <c r="F146" s="4"/>
      <c r="G146" s="4"/>
      <c r="H146" s="4"/>
      <c r="I146" s="4"/>
      <c r="J146" s="73"/>
      <c r="K146" s="73"/>
      <c r="L146" s="4"/>
    </row>
    <row r="147" spans="1:12" x14ac:dyDescent="0.2">
      <c r="A147" s="97" t="s">
        <v>273</v>
      </c>
      <c r="B147" s="55"/>
      <c r="C147" s="76">
        <v>46207.98</v>
      </c>
      <c r="D147" s="49"/>
      <c r="E147" s="4"/>
      <c r="F147" s="4"/>
      <c r="G147" s="4"/>
      <c r="H147" s="4"/>
      <c r="I147" s="4"/>
      <c r="J147" s="73"/>
      <c r="K147" s="73"/>
      <c r="L147" s="4"/>
    </row>
    <row r="148" spans="1:12" x14ac:dyDescent="0.2">
      <c r="A148" s="57" t="s">
        <v>87</v>
      </c>
      <c r="B148" s="55"/>
      <c r="C148" s="76">
        <f>M26</f>
        <v>2551877.9900000002</v>
      </c>
      <c r="D148" s="4"/>
      <c r="E148" s="4"/>
      <c r="F148" s="4"/>
      <c r="G148" s="4"/>
      <c r="H148" s="4"/>
      <c r="I148" s="4"/>
      <c r="J148" s="73"/>
      <c r="K148" s="73"/>
      <c r="L148" s="4"/>
    </row>
    <row r="149" spans="1:12" x14ac:dyDescent="0.2">
      <c r="A149" s="57" t="s">
        <v>88</v>
      </c>
      <c r="B149" s="55"/>
      <c r="C149" s="77">
        <f>-M136-39.95</f>
        <v>-2090713.44</v>
      </c>
      <c r="D149" s="4"/>
      <c r="E149" s="4"/>
      <c r="F149" s="4"/>
      <c r="G149" s="4"/>
      <c r="H149" s="4"/>
      <c r="I149" s="4"/>
      <c r="J149" s="73"/>
      <c r="K149" s="73"/>
      <c r="L149" s="4"/>
    </row>
    <row r="150" spans="1:12" ht="15.75" x14ac:dyDescent="0.25">
      <c r="A150" s="58" t="s">
        <v>89</v>
      </c>
      <c r="B150" s="59"/>
      <c r="C150" s="78">
        <f>SUM(C144:C149)</f>
        <v>1816418.1700000004</v>
      </c>
      <c r="D150" s="4"/>
      <c r="E150" s="4"/>
      <c r="F150" s="4"/>
      <c r="G150" s="4"/>
      <c r="H150" s="4"/>
      <c r="I150" s="4"/>
      <c r="J150" s="73"/>
      <c r="K150" s="73"/>
      <c r="L150" s="4"/>
    </row>
    <row r="151" spans="1:12" ht="5.0999999999999996" customHeight="1" x14ac:dyDescent="0.25">
      <c r="A151" s="58"/>
      <c r="B151" s="59"/>
      <c r="C151" s="78"/>
      <c r="D151" s="4"/>
      <c r="E151" s="4"/>
      <c r="F151" s="4"/>
      <c r="G151" s="4"/>
      <c r="H151" s="4"/>
      <c r="I151" s="4"/>
      <c r="J151" s="73"/>
      <c r="K151" s="73"/>
      <c r="L151" s="4"/>
    </row>
    <row r="152" spans="1:12" x14ac:dyDescent="0.2">
      <c r="A152" s="54" t="s">
        <v>90</v>
      </c>
      <c r="B152" s="55"/>
      <c r="C152" s="76"/>
      <c r="D152" s="90"/>
      <c r="E152" s="91"/>
      <c r="F152" s="4"/>
      <c r="G152" s="4"/>
      <c r="H152" s="4"/>
      <c r="I152" s="4"/>
      <c r="J152" s="73"/>
      <c r="K152" s="73"/>
      <c r="L152" s="4"/>
    </row>
    <row r="153" spans="1:12" x14ac:dyDescent="0.2">
      <c r="A153" s="57" t="s">
        <v>152</v>
      </c>
      <c r="B153" s="55"/>
      <c r="C153" s="76">
        <v>272</v>
      </c>
      <c r="D153" s="92"/>
      <c r="E153" s="91"/>
      <c r="F153" s="4"/>
      <c r="G153" s="4"/>
      <c r="H153" s="4"/>
      <c r="I153" s="4"/>
      <c r="J153" s="73"/>
      <c r="K153" s="73"/>
      <c r="L153" s="4"/>
    </row>
    <row r="154" spans="1:12" x14ac:dyDescent="0.2">
      <c r="A154" s="57" t="s">
        <v>156</v>
      </c>
      <c r="B154" s="55"/>
      <c r="C154" s="76">
        <v>10274.74</v>
      </c>
      <c r="D154" s="92"/>
      <c r="E154" s="91"/>
      <c r="F154" s="4"/>
      <c r="G154" s="4"/>
      <c r="H154" s="4"/>
      <c r="I154" s="4"/>
      <c r="J154" s="73"/>
      <c r="K154" s="73"/>
      <c r="L154" s="4"/>
    </row>
    <row r="155" spans="1:12" x14ac:dyDescent="0.2">
      <c r="A155" s="57" t="s">
        <v>154</v>
      </c>
      <c r="B155" s="55"/>
      <c r="C155" s="76">
        <v>1693.33</v>
      </c>
      <c r="D155" s="92"/>
      <c r="E155" s="91"/>
      <c r="F155" s="4"/>
      <c r="G155" s="4"/>
      <c r="H155" s="4"/>
      <c r="I155" s="4"/>
      <c r="J155" s="73"/>
      <c r="K155" s="73"/>
      <c r="L155" s="4"/>
    </row>
    <row r="156" spans="1:12" x14ac:dyDescent="0.2">
      <c r="A156" s="57" t="s">
        <v>153</v>
      </c>
      <c r="B156" s="55"/>
      <c r="C156" s="76">
        <v>1053.68</v>
      </c>
      <c r="D156" s="93"/>
      <c r="E156" s="94"/>
      <c r="F156" s="4"/>
      <c r="G156" s="4"/>
      <c r="H156" s="4"/>
      <c r="I156" s="4"/>
      <c r="J156" s="73"/>
      <c r="K156" s="73"/>
      <c r="L156" s="4"/>
    </row>
    <row r="157" spans="1:12" x14ac:dyDescent="0.2">
      <c r="A157" s="57" t="s">
        <v>253</v>
      </c>
      <c r="B157" s="55"/>
      <c r="C157" s="76">
        <f>990.15+990.15+990.15+990.15+990.15+990.15</f>
        <v>5940.9</v>
      </c>
      <c r="D157" s="93"/>
      <c r="E157" s="94"/>
      <c r="F157" s="4"/>
      <c r="G157" s="4"/>
      <c r="H157" s="4"/>
      <c r="I157" s="4"/>
      <c r="J157" s="73"/>
      <c r="K157" s="73"/>
      <c r="L157" s="4"/>
    </row>
    <row r="158" spans="1:12" ht="2.1" customHeight="1" x14ac:dyDescent="0.2">
      <c r="A158" s="57"/>
      <c r="B158" s="55"/>
      <c r="C158" s="77"/>
      <c r="D158" s="92"/>
      <c r="E158" s="91"/>
      <c r="F158" s="4"/>
      <c r="G158" s="4"/>
      <c r="H158" s="4"/>
      <c r="I158" s="4"/>
      <c r="J158" s="73"/>
      <c r="K158" s="73"/>
      <c r="L158" s="4"/>
    </row>
    <row r="159" spans="1:12" ht="15.75" x14ac:dyDescent="0.25">
      <c r="A159" s="58"/>
      <c r="B159" s="59"/>
      <c r="C159" s="78">
        <f>SUM(C153:C158)</f>
        <v>19234.650000000001</v>
      </c>
      <c r="D159" s="92"/>
      <c r="E159" s="91"/>
      <c r="F159" s="4"/>
      <c r="G159" s="4"/>
      <c r="H159" s="4"/>
      <c r="I159" s="4"/>
      <c r="J159" s="73"/>
      <c r="K159" s="73"/>
      <c r="L159" s="4"/>
    </row>
    <row r="160" spans="1:12" ht="2.1" customHeight="1" x14ac:dyDescent="0.25">
      <c r="A160" s="58"/>
      <c r="B160" s="59"/>
      <c r="C160" s="79"/>
      <c r="D160" s="90"/>
      <c r="E160" s="91"/>
      <c r="F160" s="4"/>
      <c r="G160" s="4"/>
      <c r="H160" s="4"/>
      <c r="I160" s="4"/>
      <c r="J160" s="73"/>
      <c r="K160" s="73"/>
      <c r="L160" s="4"/>
    </row>
    <row r="161" spans="1:13" ht="9.9499999999999993" customHeight="1" x14ac:dyDescent="0.2">
      <c r="A161" s="57"/>
      <c r="B161" s="55"/>
      <c r="C161" s="76"/>
      <c r="D161" s="90"/>
      <c r="E161" s="91"/>
      <c r="F161" s="4"/>
      <c r="G161" s="4"/>
      <c r="H161" s="4"/>
      <c r="I161" s="4"/>
      <c r="J161" s="73"/>
      <c r="K161" s="73"/>
      <c r="L161" s="4"/>
    </row>
    <row r="162" spans="1:13" ht="16.5" thickBot="1" x14ac:dyDescent="0.3">
      <c r="A162" s="60" t="s">
        <v>274</v>
      </c>
      <c r="B162" s="61"/>
      <c r="C162" s="75">
        <f>C150+C159</f>
        <v>1835652.8200000003</v>
      </c>
      <c r="D162" s="90"/>
      <c r="E162" s="91"/>
      <c r="F162" s="4"/>
      <c r="G162" s="4"/>
      <c r="H162" s="4"/>
      <c r="I162" s="4"/>
      <c r="J162" s="73"/>
      <c r="K162" s="73"/>
      <c r="L162" s="4"/>
    </row>
    <row r="163" spans="1:13" x14ac:dyDescent="0.2">
      <c r="A163" s="62"/>
      <c r="B163" s="62"/>
      <c r="C163" s="63"/>
      <c r="D163" s="4"/>
      <c r="E163" s="4"/>
      <c r="F163" s="4"/>
      <c r="G163" s="4"/>
      <c r="H163" s="4"/>
      <c r="I163" s="4"/>
      <c r="J163" s="73"/>
      <c r="K163" s="73"/>
      <c r="L163" s="4"/>
    </row>
    <row r="164" spans="1:13" x14ac:dyDescent="0.2">
      <c r="C164" s="63"/>
      <c r="D164" s="4"/>
    </row>
    <row r="165" spans="1:13" x14ac:dyDescent="0.2">
      <c r="C165" s="14"/>
      <c r="D165" s="4"/>
    </row>
    <row r="166" spans="1:13" x14ac:dyDescent="0.2">
      <c r="C166" s="14"/>
      <c r="D166" s="4"/>
    </row>
    <row r="167" spans="1:13" x14ac:dyDescent="0.2">
      <c r="C167" s="15"/>
      <c r="D167" s="4"/>
      <c r="I167" s="4"/>
      <c r="K167" s="73"/>
      <c r="L167" s="4"/>
    </row>
    <row r="168" spans="1:13" x14ac:dyDescent="0.2">
      <c r="C168" s="15"/>
      <c r="D168" s="4"/>
    </row>
    <row r="169" spans="1:13" x14ac:dyDescent="0.2">
      <c r="C169" s="15"/>
      <c r="D169" s="4"/>
    </row>
    <row r="170" spans="1:13" x14ac:dyDescent="0.2">
      <c r="C170" s="15"/>
      <c r="D170" s="4"/>
    </row>
    <row r="171" spans="1:13" x14ac:dyDescent="0.2">
      <c r="C171" s="15"/>
      <c r="D171" s="4"/>
    </row>
    <row r="172" spans="1:13" x14ac:dyDescent="0.2">
      <c r="D172" s="4"/>
    </row>
    <row r="173" spans="1:13" x14ac:dyDescent="0.2">
      <c r="D173" s="4"/>
    </row>
    <row r="174" spans="1:13" x14ac:dyDescent="0.2">
      <c r="B174" s="11" t="s">
        <v>239</v>
      </c>
      <c r="D174" s="13" t="s">
        <v>240</v>
      </c>
      <c r="I174" s="13"/>
      <c r="K174" s="83"/>
      <c r="M174" s="11" t="s">
        <v>269</v>
      </c>
    </row>
    <row r="175" spans="1:13" x14ac:dyDescent="0.2">
      <c r="B175" s="11" t="s">
        <v>91</v>
      </c>
      <c r="D175" s="13" t="s">
        <v>92</v>
      </c>
      <c r="M175" s="11" t="s">
        <v>270</v>
      </c>
    </row>
    <row r="179" spans="7:12" x14ac:dyDescent="0.2">
      <c r="I179" s="4"/>
      <c r="K179" s="73"/>
      <c r="L179" s="4"/>
    </row>
    <row r="180" spans="7:12" x14ac:dyDescent="0.2">
      <c r="I180" s="4"/>
      <c r="K180" s="73"/>
      <c r="L180" s="4"/>
    </row>
    <row r="181" spans="7:12" x14ac:dyDescent="0.2">
      <c r="G181" s="64"/>
      <c r="I181" s="64"/>
      <c r="K181" s="74"/>
      <c r="L181" s="4"/>
    </row>
    <row r="182" spans="7:12" x14ac:dyDescent="0.2">
      <c r="G182" s="64"/>
      <c r="I182" s="64"/>
      <c r="K182" s="74"/>
      <c r="L182" s="4"/>
    </row>
    <row r="183" spans="7:12" x14ac:dyDescent="0.2">
      <c r="G183" s="64"/>
      <c r="L183" s="4"/>
    </row>
    <row r="184" spans="7:12" x14ac:dyDescent="0.2">
      <c r="G184" s="64"/>
    </row>
    <row r="185" spans="7:12" x14ac:dyDescent="0.2">
      <c r="G185" s="64"/>
    </row>
    <row r="186" spans="7:12" x14ac:dyDescent="0.2">
      <c r="G186" s="64"/>
      <c r="L186" s="4"/>
    </row>
    <row r="187" spans="7:12" x14ac:dyDescent="0.2">
      <c r="G187" s="64"/>
    </row>
    <row r="188" spans="7:12" x14ac:dyDescent="0.2">
      <c r="G188" s="64"/>
    </row>
    <row r="189" spans="7:12" x14ac:dyDescent="0.2">
      <c r="G189" s="64"/>
    </row>
    <row r="190" spans="7:12" x14ac:dyDescent="0.2">
      <c r="G190" s="64"/>
    </row>
    <row r="191" spans="7:12" x14ac:dyDescent="0.2">
      <c r="G191" s="64"/>
    </row>
    <row r="192" spans="7:12" x14ac:dyDescent="0.2">
      <c r="G192" s="64"/>
    </row>
    <row r="193" spans="7:7" x14ac:dyDescent="0.2">
      <c r="G193" s="64"/>
    </row>
    <row r="194" spans="7:7" x14ac:dyDescent="0.2">
      <c r="G194" s="64"/>
    </row>
    <row r="195" spans="7:7" x14ac:dyDescent="0.2">
      <c r="G195" s="64"/>
    </row>
    <row r="196" spans="7:7" x14ac:dyDescent="0.2">
      <c r="G196" s="64"/>
    </row>
    <row r="197" spans="7:7" x14ac:dyDescent="0.2">
      <c r="G197" s="64"/>
    </row>
    <row r="198" spans="7:7" x14ac:dyDescent="0.2">
      <c r="G198" s="64"/>
    </row>
  </sheetData>
  <mergeCells count="2">
    <mergeCell ref="B6:B7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horizontalDpi="0" verticalDpi="0" r:id="rId1"/>
  <rowBreaks count="2" manualBreakCount="2">
    <brk id="53" max="14" man="1"/>
    <brk id="11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8"/>
  <sheetViews>
    <sheetView topLeftCell="C62" zoomScaleNormal="100" workbookViewId="0">
      <selection activeCell="M73" sqref="M73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9" width="16.42578125" style="11" customWidth="1"/>
    <col min="10" max="11" width="13.42578125" style="62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65"/>
      <c r="K1" s="65"/>
      <c r="L1" s="16"/>
      <c r="M1" s="16"/>
      <c r="N1" s="16"/>
      <c r="O1" s="17"/>
    </row>
    <row r="2" spans="1:15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65"/>
      <c r="K2" s="65"/>
      <c r="L2" s="16"/>
      <c r="M2" s="16"/>
      <c r="N2" s="16"/>
      <c r="O2" s="17"/>
    </row>
    <row r="3" spans="1:15" ht="15.75" x14ac:dyDescent="0.25">
      <c r="A3" s="16" t="s">
        <v>275</v>
      </c>
      <c r="B3" s="16"/>
      <c r="C3" s="16"/>
      <c r="D3" s="16"/>
      <c r="E3" s="16"/>
      <c r="F3" s="16"/>
      <c r="G3" s="16"/>
      <c r="H3" s="16"/>
      <c r="I3" s="16"/>
      <c r="J3" s="65"/>
      <c r="K3" s="65"/>
      <c r="L3" s="16"/>
      <c r="M3" s="16"/>
      <c r="N3" s="16"/>
      <c r="O3" s="17"/>
    </row>
    <row r="4" spans="1:15" ht="15.75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65"/>
      <c r="K4" s="65"/>
      <c r="L4" s="16"/>
      <c r="M4" s="16"/>
      <c r="N4" s="16"/>
      <c r="O4" s="17"/>
    </row>
    <row r="5" spans="1:15" ht="16.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66"/>
      <c r="K5" s="66"/>
      <c r="L5" s="17"/>
      <c r="M5" s="17"/>
      <c r="N5" s="17"/>
      <c r="O5" s="17"/>
    </row>
    <row r="6" spans="1:15" ht="16.5" thickBot="1" x14ac:dyDescent="0.3">
      <c r="A6" s="18" t="s">
        <v>3</v>
      </c>
      <c r="B6" s="100" t="s">
        <v>4</v>
      </c>
      <c r="C6" s="18" t="s">
        <v>5</v>
      </c>
      <c r="D6" s="19" t="s">
        <v>6</v>
      </c>
      <c r="E6" s="20"/>
      <c r="F6" s="19" t="s">
        <v>7</v>
      </c>
      <c r="G6" s="20"/>
      <c r="H6" s="19" t="s">
        <v>18</v>
      </c>
      <c r="I6" s="84"/>
      <c r="J6" s="67" t="s">
        <v>155</v>
      </c>
      <c r="K6" s="80" t="s">
        <v>155</v>
      </c>
      <c r="L6" s="18" t="s">
        <v>5</v>
      </c>
      <c r="M6" s="100" t="s">
        <v>8</v>
      </c>
      <c r="N6" s="18" t="s">
        <v>9</v>
      </c>
      <c r="O6" s="18" t="s">
        <v>10</v>
      </c>
    </row>
    <row r="7" spans="1:15" ht="16.5" thickBot="1" x14ac:dyDescent="0.3">
      <c r="A7" s="21" t="s">
        <v>11</v>
      </c>
      <c r="B7" s="101"/>
      <c r="C7" s="21" t="s">
        <v>12</v>
      </c>
      <c r="D7" s="22" t="s">
        <v>13</v>
      </c>
      <c r="E7" s="22" t="s">
        <v>14</v>
      </c>
      <c r="F7" s="22" t="s">
        <v>13</v>
      </c>
      <c r="G7" s="22" t="s">
        <v>14</v>
      </c>
      <c r="H7" s="22" t="s">
        <v>13</v>
      </c>
      <c r="I7" s="23" t="s">
        <v>14</v>
      </c>
      <c r="J7" s="68" t="s">
        <v>13</v>
      </c>
      <c r="K7" s="81" t="s">
        <v>14</v>
      </c>
      <c r="L7" s="21" t="s">
        <v>15</v>
      </c>
      <c r="M7" s="101"/>
      <c r="N7" s="21" t="s">
        <v>16</v>
      </c>
      <c r="O7" s="21" t="s">
        <v>17</v>
      </c>
    </row>
    <row r="8" spans="1:15" ht="15.95" customHeight="1" x14ac:dyDescent="0.25">
      <c r="A8" s="24"/>
      <c r="B8" s="24"/>
      <c r="C8" s="25"/>
      <c r="D8" s="38"/>
      <c r="E8" s="38"/>
      <c r="F8" s="38"/>
      <c r="G8" s="38"/>
      <c r="H8" s="38"/>
      <c r="I8" s="38"/>
      <c r="J8" s="69"/>
      <c r="K8" s="69"/>
      <c r="L8" s="25"/>
      <c r="M8" s="25"/>
      <c r="N8" s="25"/>
      <c r="O8" s="26"/>
    </row>
    <row r="9" spans="1:15" ht="15.95" customHeight="1" x14ac:dyDescent="0.25">
      <c r="A9" s="27"/>
      <c r="B9" s="27" t="s">
        <v>187</v>
      </c>
      <c r="C9" s="30"/>
      <c r="D9" s="30"/>
      <c r="E9" s="30"/>
      <c r="F9" s="30"/>
      <c r="G9" s="30"/>
      <c r="H9" s="30"/>
      <c r="I9" s="30"/>
      <c r="J9" s="46"/>
      <c r="K9" s="46"/>
      <c r="L9" s="30"/>
      <c r="M9" s="30"/>
      <c r="N9" s="30"/>
      <c r="O9" s="29"/>
    </row>
    <row r="10" spans="1:15" ht="15.95" customHeight="1" x14ac:dyDescent="0.25">
      <c r="A10" s="31" t="s">
        <v>19</v>
      </c>
      <c r="B10" s="31" t="s">
        <v>188</v>
      </c>
      <c r="C10" s="30">
        <v>33000</v>
      </c>
      <c r="D10" s="30"/>
      <c r="E10" s="30"/>
      <c r="F10" s="30"/>
      <c r="G10" s="30">
        <v>6700</v>
      </c>
      <c r="H10" s="30"/>
      <c r="I10" s="30"/>
      <c r="J10" s="46"/>
      <c r="K10" s="46"/>
      <c r="L10" s="30">
        <f t="shared" ref="L10:L22" si="0">C10+D10-E10+F10-G10+J10-K10</f>
        <v>26300</v>
      </c>
      <c r="M10" s="30">
        <f>13600+7600+600+400+600+600</f>
        <v>23400</v>
      </c>
      <c r="N10" s="30">
        <f t="shared" ref="N10:N22" si="1">L10-M10</f>
        <v>2900</v>
      </c>
      <c r="O10" s="29">
        <f>M10/$M$26</f>
        <v>8.4363414530463938E-3</v>
      </c>
    </row>
    <row r="11" spans="1:15" ht="15.95" hidden="1" customHeight="1" x14ac:dyDescent="0.25">
      <c r="A11" s="31" t="s">
        <v>29</v>
      </c>
      <c r="B11" s="31" t="s">
        <v>30</v>
      </c>
      <c r="C11" s="30">
        <v>0</v>
      </c>
      <c r="D11" s="30"/>
      <c r="E11" s="30"/>
      <c r="F11" s="30"/>
      <c r="G11" s="30"/>
      <c r="H11" s="30"/>
      <c r="I11" s="30"/>
      <c r="J11" s="46"/>
      <c r="K11" s="46"/>
      <c r="L11" s="30">
        <f t="shared" si="0"/>
        <v>0</v>
      </c>
      <c r="M11" s="30">
        <v>0</v>
      </c>
      <c r="N11" s="30">
        <v>0</v>
      </c>
      <c r="O11" s="29"/>
    </row>
    <row r="12" spans="1:15" ht="15.95" customHeight="1" x14ac:dyDescent="0.25">
      <c r="A12" s="31" t="s">
        <v>20</v>
      </c>
      <c r="B12" s="31" t="s">
        <v>189</v>
      </c>
      <c r="C12" s="30">
        <v>25000</v>
      </c>
      <c r="D12" s="30"/>
      <c r="E12" s="30"/>
      <c r="F12" s="30"/>
      <c r="G12" s="30"/>
      <c r="H12" s="30"/>
      <c r="I12" s="30"/>
      <c r="J12" s="46"/>
      <c r="K12" s="46"/>
      <c r="L12" s="30">
        <f t="shared" si="0"/>
        <v>25000</v>
      </c>
      <c r="M12" s="30">
        <f>400.4+1360+750+50</f>
        <v>2560.4</v>
      </c>
      <c r="N12" s="30">
        <f t="shared" si="1"/>
        <v>22439.599999999999</v>
      </c>
      <c r="O12" s="29">
        <f>M12/$M$26</f>
        <v>9.2309438702478576E-4</v>
      </c>
    </row>
    <row r="13" spans="1:15" ht="15.95" customHeight="1" x14ac:dyDescent="0.25">
      <c r="A13" s="31" t="s">
        <v>21</v>
      </c>
      <c r="B13" s="31" t="s">
        <v>190</v>
      </c>
      <c r="C13" s="30">
        <v>3500</v>
      </c>
      <c r="D13" s="30"/>
      <c r="E13" s="30"/>
      <c r="F13" s="30"/>
      <c r="G13" s="30"/>
      <c r="H13" s="30"/>
      <c r="I13" s="30"/>
      <c r="J13" s="46"/>
      <c r="K13" s="46"/>
      <c r="L13" s="30">
        <f t="shared" si="0"/>
        <v>3500</v>
      </c>
      <c r="M13" s="30">
        <v>0</v>
      </c>
      <c r="N13" s="30">
        <f t="shared" si="1"/>
        <v>3500</v>
      </c>
      <c r="O13" s="29">
        <f>M13/$M$26</f>
        <v>0</v>
      </c>
    </row>
    <row r="14" spans="1:15" ht="15.95" customHeight="1" x14ac:dyDescent="0.25">
      <c r="A14" s="31"/>
      <c r="B14" s="27" t="s">
        <v>191</v>
      </c>
      <c r="C14" s="30"/>
      <c r="D14" s="30"/>
      <c r="E14" s="30"/>
      <c r="F14" s="30"/>
      <c r="G14" s="30"/>
      <c r="H14" s="30"/>
      <c r="I14" s="30"/>
      <c r="J14" s="46"/>
      <c r="K14" s="46"/>
      <c r="L14" s="30"/>
      <c r="M14" s="30"/>
      <c r="N14" s="30"/>
      <c r="O14" s="29"/>
    </row>
    <row r="15" spans="1:15" ht="15.95" customHeight="1" x14ac:dyDescent="0.25">
      <c r="A15" s="31" t="s">
        <v>192</v>
      </c>
      <c r="B15" s="31" t="s">
        <v>245</v>
      </c>
      <c r="C15" s="30">
        <v>3300</v>
      </c>
      <c r="D15" s="30"/>
      <c r="E15" s="30"/>
      <c r="F15" s="30">
        <v>6700</v>
      </c>
      <c r="G15" s="30"/>
      <c r="H15" s="30"/>
      <c r="I15" s="30"/>
      <c r="J15" s="46"/>
      <c r="K15" s="46"/>
      <c r="L15" s="30">
        <f t="shared" si="0"/>
        <v>10000</v>
      </c>
      <c r="M15" s="30">
        <f>471.37+563.88+670.99+877.82+980.93+976.17+3.5+980.48+994.96+3.62+812.42+3.5</f>
        <v>7339.6399999999994</v>
      </c>
      <c r="N15" s="30">
        <f t="shared" si="1"/>
        <v>2660.3600000000006</v>
      </c>
      <c r="O15" s="29">
        <f>M15/$M$26</f>
        <v>2.6461414180528817E-3</v>
      </c>
    </row>
    <row r="16" spans="1:15" ht="15.95" customHeight="1" x14ac:dyDescent="0.25">
      <c r="A16" s="27" t="s">
        <v>242</v>
      </c>
      <c r="B16" s="27" t="s">
        <v>243</v>
      </c>
      <c r="C16" s="30"/>
      <c r="D16" s="30"/>
      <c r="E16" s="30"/>
      <c r="F16" s="30"/>
      <c r="G16" s="30"/>
      <c r="H16" s="30"/>
      <c r="I16" s="30"/>
      <c r="J16" s="46"/>
      <c r="K16" s="46"/>
      <c r="L16" s="30"/>
      <c r="M16" s="30"/>
      <c r="N16" s="30"/>
      <c r="O16" s="29"/>
    </row>
    <row r="17" spans="1:15" ht="15.95" customHeight="1" x14ac:dyDescent="0.25">
      <c r="A17" s="27" t="s">
        <v>244</v>
      </c>
      <c r="B17" s="27" t="s">
        <v>241</v>
      </c>
      <c r="C17" s="89">
        <v>0</v>
      </c>
      <c r="D17" s="30"/>
      <c r="E17" s="30"/>
      <c r="F17" s="30"/>
      <c r="G17" s="30"/>
      <c r="H17" s="30"/>
      <c r="I17" s="30"/>
      <c r="J17" s="46"/>
      <c r="K17" s="46"/>
      <c r="L17" s="30"/>
      <c r="M17" s="30"/>
      <c r="N17" s="30"/>
      <c r="O17" s="29"/>
    </row>
    <row r="18" spans="1:15" ht="15.95" customHeight="1" x14ac:dyDescent="0.25">
      <c r="A18" s="31" t="s">
        <v>22</v>
      </c>
      <c r="B18" s="31" t="s">
        <v>23</v>
      </c>
      <c r="C18" s="30">
        <v>2996512.52</v>
      </c>
      <c r="D18" s="30"/>
      <c r="E18" s="30"/>
      <c r="F18" s="30"/>
      <c r="G18" s="30"/>
      <c r="H18" s="30"/>
      <c r="I18" s="30"/>
      <c r="J18" s="46"/>
      <c r="K18" s="46"/>
      <c r="L18" s="30">
        <f t="shared" si="0"/>
        <v>2996512.52</v>
      </c>
      <c r="M18" s="30">
        <f>355870+247708.11+247708.11+247708.11+227292.61+228925.85+249709.38+216676.55+174212.3</f>
        <v>2195811.02</v>
      </c>
      <c r="N18" s="30">
        <f t="shared" si="1"/>
        <v>800701.5</v>
      </c>
      <c r="O18" s="29">
        <f>M18/$M$26</f>
        <v>0.79165006543085825</v>
      </c>
    </row>
    <row r="19" spans="1:15" ht="15.95" hidden="1" customHeight="1" x14ac:dyDescent="0.25">
      <c r="A19" s="31" t="s">
        <v>24</v>
      </c>
      <c r="B19" s="31" t="s">
        <v>32</v>
      </c>
      <c r="C19" s="30">
        <v>0</v>
      </c>
      <c r="D19" s="30"/>
      <c r="E19" s="30"/>
      <c r="F19" s="30"/>
      <c r="G19" s="30"/>
      <c r="H19" s="30"/>
      <c r="I19" s="30"/>
      <c r="J19" s="46"/>
      <c r="K19" s="46"/>
      <c r="L19" s="30">
        <f t="shared" si="0"/>
        <v>0</v>
      </c>
      <c r="M19" s="30">
        <v>0</v>
      </c>
      <c r="N19" s="30">
        <f t="shared" si="1"/>
        <v>0</v>
      </c>
      <c r="O19" s="29">
        <f>M19/$M$26</f>
        <v>0</v>
      </c>
    </row>
    <row r="20" spans="1:15" ht="15.95" customHeight="1" x14ac:dyDescent="0.25">
      <c r="A20" s="31" t="s">
        <v>25</v>
      </c>
      <c r="B20" s="31" t="s">
        <v>26</v>
      </c>
      <c r="C20" s="30">
        <v>1809978.55</v>
      </c>
      <c r="D20" s="30"/>
      <c r="E20" s="30"/>
      <c r="F20" s="30"/>
      <c r="G20" s="30"/>
      <c r="H20" s="30"/>
      <c r="I20" s="30"/>
      <c r="J20" s="46"/>
      <c r="K20" s="46"/>
      <c r="L20" s="30">
        <f t="shared" si="0"/>
        <v>1809978.55</v>
      </c>
      <c r="M20" s="30">
        <f>351172.36+20685</f>
        <v>371857.36</v>
      </c>
      <c r="N20" s="30">
        <f t="shared" si="1"/>
        <v>1438121.19</v>
      </c>
      <c r="O20" s="29">
        <f>M20/$M$26</f>
        <v>0.13406477182856391</v>
      </c>
    </row>
    <row r="21" spans="1:15" ht="15.95" customHeight="1" x14ac:dyDescent="0.25">
      <c r="A21" s="31" t="s">
        <v>27</v>
      </c>
      <c r="B21" s="31" t="s">
        <v>28</v>
      </c>
      <c r="C21" s="30">
        <v>20000</v>
      </c>
      <c r="D21" s="30"/>
      <c r="E21" s="30"/>
      <c r="F21" s="30"/>
      <c r="G21" s="30"/>
      <c r="H21" s="30"/>
      <c r="I21" s="30"/>
      <c r="J21" s="46"/>
      <c r="K21" s="46"/>
      <c r="L21" s="30">
        <f t="shared" si="0"/>
        <v>20000</v>
      </c>
      <c r="M21" s="30">
        <v>0</v>
      </c>
      <c r="N21" s="30">
        <f t="shared" si="1"/>
        <v>20000</v>
      </c>
      <c r="O21" s="29">
        <f>M21/$M$26</f>
        <v>0</v>
      </c>
    </row>
    <row r="22" spans="1:15" ht="15.95" customHeight="1" x14ac:dyDescent="0.25">
      <c r="A22" s="32" t="s">
        <v>31</v>
      </c>
      <c r="B22" s="32" t="s">
        <v>33</v>
      </c>
      <c r="C22" s="33">
        <v>239501.9</v>
      </c>
      <c r="D22" s="33"/>
      <c r="E22" s="33"/>
      <c r="F22" s="33"/>
      <c r="G22" s="33"/>
      <c r="H22" s="33"/>
      <c r="I22" s="33"/>
      <c r="J22" s="70"/>
      <c r="K22" s="70"/>
      <c r="L22" s="30">
        <f t="shared" si="0"/>
        <v>239501.9</v>
      </c>
      <c r="M22" s="30">
        <f>53680.2+72857.59+46207.98</f>
        <v>172745.77</v>
      </c>
      <c r="N22" s="30">
        <f t="shared" si="1"/>
        <v>66756.13</v>
      </c>
      <c r="O22" s="29">
        <f>M22/$M$26</f>
        <v>6.2279585482453763E-2</v>
      </c>
    </row>
    <row r="23" spans="1:15" ht="15.95" customHeight="1" x14ac:dyDescent="0.25">
      <c r="A23" s="27"/>
      <c r="B23" s="27" t="s">
        <v>193</v>
      </c>
      <c r="C23" s="28"/>
      <c r="D23" s="30"/>
      <c r="E23" s="30"/>
      <c r="F23" s="30"/>
      <c r="G23" s="30"/>
      <c r="H23" s="30"/>
      <c r="I23" s="30"/>
      <c r="J23" s="46"/>
      <c r="K23" s="46"/>
      <c r="L23" s="28"/>
      <c r="M23" s="30"/>
      <c r="N23" s="28"/>
      <c r="O23" s="29"/>
    </row>
    <row r="24" spans="1:15" ht="15.95" customHeight="1" x14ac:dyDescent="0.25">
      <c r="A24" s="31" t="s">
        <v>196</v>
      </c>
      <c r="B24" s="31" t="s">
        <v>197</v>
      </c>
      <c r="C24" s="30">
        <v>260706.83</v>
      </c>
      <c r="D24" s="30"/>
      <c r="E24" s="30"/>
      <c r="F24" s="30"/>
      <c r="G24" s="30"/>
      <c r="H24" s="30"/>
      <c r="I24" s="30"/>
      <c r="J24" s="46"/>
      <c r="K24" s="46"/>
      <c r="L24" s="30">
        <f>C24+D24-E24+F24-G24+J24-K24</f>
        <v>260706.83</v>
      </c>
      <c r="M24" s="30">
        <v>0</v>
      </c>
      <c r="N24" s="30">
        <f>L24-M24</f>
        <v>260706.83</v>
      </c>
      <c r="O24" s="29">
        <f>M24/$M$26</f>
        <v>0</v>
      </c>
    </row>
    <row r="25" spans="1:15" ht="15.95" customHeight="1" thickBot="1" x14ac:dyDescent="0.3">
      <c r="A25" s="31" t="s">
        <v>195</v>
      </c>
      <c r="B25" s="31" t="s">
        <v>194</v>
      </c>
      <c r="C25" s="30">
        <v>1025276.81</v>
      </c>
      <c r="D25" s="30"/>
      <c r="E25" s="30"/>
      <c r="F25" s="30"/>
      <c r="G25" s="30"/>
      <c r="H25" s="30"/>
      <c r="I25" s="30"/>
      <c r="J25" s="46"/>
      <c r="K25" s="46"/>
      <c r="L25" s="30">
        <f>C25+D25-E25+F25-G25+J25-K25</f>
        <v>1025276.81</v>
      </c>
      <c r="M25" s="30"/>
      <c r="N25" s="30">
        <f>L25-M25</f>
        <v>1025276.81</v>
      </c>
      <c r="O25" s="29">
        <f>M25/$M$26</f>
        <v>0</v>
      </c>
    </row>
    <row r="26" spans="1:15" ht="18" customHeight="1" thickBot="1" x14ac:dyDescent="0.3">
      <c r="A26" s="34"/>
      <c r="B26" s="35" t="s">
        <v>34</v>
      </c>
      <c r="C26" s="36">
        <f>SUM(C9:C25)</f>
        <v>6416776.6100000013</v>
      </c>
      <c r="D26" s="36">
        <f t="shared" ref="D26:N26" si="2">SUM(D9:D25)</f>
        <v>0</v>
      </c>
      <c r="E26" s="36">
        <f t="shared" si="2"/>
        <v>0</v>
      </c>
      <c r="F26" s="36">
        <f t="shared" si="2"/>
        <v>6700</v>
      </c>
      <c r="G26" s="36">
        <f t="shared" si="2"/>
        <v>6700</v>
      </c>
      <c r="H26" s="36">
        <f t="shared" si="2"/>
        <v>0</v>
      </c>
      <c r="I26" s="36">
        <f t="shared" si="2"/>
        <v>0</v>
      </c>
      <c r="J26" s="36">
        <f t="shared" si="2"/>
        <v>0</v>
      </c>
      <c r="K26" s="36">
        <f t="shared" si="2"/>
        <v>0</v>
      </c>
      <c r="L26" s="36">
        <f t="shared" si="2"/>
        <v>6416776.6100000013</v>
      </c>
      <c r="M26" s="36">
        <f t="shared" si="2"/>
        <v>2773714.19</v>
      </c>
      <c r="N26" s="36">
        <f t="shared" si="2"/>
        <v>3643062.42</v>
      </c>
      <c r="O26" s="29"/>
    </row>
    <row r="27" spans="1:15" ht="15.95" customHeight="1" x14ac:dyDescent="0.2">
      <c r="A27" s="37"/>
      <c r="B27" s="37"/>
      <c r="C27" s="38">
        <f>6416776.61-C26</f>
        <v>0</v>
      </c>
      <c r="D27" s="38"/>
      <c r="E27" s="38"/>
      <c r="F27" s="38"/>
      <c r="G27" s="38"/>
      <c r="H27" s="38"/>
      <c r="I27" s="38"/>
      <c r="J27" s="69"/>
      <c r="K27" s="69"/>
      <c r="L27" s="38"/>
      <c r="M27" s="38"/>
      <c r="N27" s="38"/>
      <c r="O27" s="39"/>
    </row>
    <row r="28" spans="1:15" ht="15.95" customHeight="1" x14ac:dyDescent="0.25">
      <c r="A28" s="27" t="s">
        <v>35</v>
      </c>
      <c r="B28" s="27" t="s">
        <v>36</v>
      </c>
      <c r="C28" s="28"/>
      <c r="D28" s="30"/>
      <c r="E28" s="30"/>
      <c r="F28" s="30"/>
      <c r="G28" s="30"/>
      <c r="H28" s="30"/>
      <c r="I28" s="30"/>
      <c r="J28" s="46"/>
      <c r="K28" s="46"/>
      <c r="L28" s="30"/>
      <c r="M28" s="30"/>
      <c r="N28" s="30"/>
      <c r="O28" s="40"/>
    </row>
    <row r="29" spans="1:15" ht="15.95" customHeight="1" x14ac:dyDescent="0.25">
      <c r="A29" s="27"/>
      <c r="B29" s="27"/>
      <c r="C29" s="28"/>
      <c r="D29" s="30"/>
      <c r="E29" s="30"/>
      <c r="F29" s="30"/>
      <c r="G29" s="30"/>
      <c r="H29" s="30"/>
      <c r="I29" s="30"/>
      <c r="J29" s="46"/>
      <c r="K29" s="46"/>
      <c r="L29" s="30"/>
      <c r="M29" s="30"/>
      <c r="N29" s="30"/>
      <c r="O29" s="40"/>
    </row>
    <row r="30" spans="1:15" ht="15.95" customHeight="1" x14ac:dyDescent="0.25">
      <c r="A30" s="41">
        <v>0</v>
      </c>
      <c r="B30" s="42" t="s">
        <v>37</v>
      </c>
      <c r="C30" s="28"/>
      <c r="D30" s="30"/>
      <c r="E30" s="30"/>
      <c r="F30" s="46"/>
      <c r="G30" s="46"/>
      <c r="H30" s="30"/>
      <c r="I30" s="30"/>
      <c r="J30" s="46"/>
      <c r="K30" s="46"/>
      <c r="L30" s="30"/>
      <c r="M30" s="30"/>
      <c r="N30" s="30"/>
      <c r="O30" s="40"/>
    </row>
    <row r="31" spans="1:15" ht="15.95" customHeight="1" x14ac:dyDescent="0.2">
      <c r="A31" s="43" t="s">
        <v>38</v>
      </c>
      <c r="B31" s="31" t="s">
        <v>159</v>
      </c>
      <c r="C31" s="30">
        <v>784572.04</v>
      </c>
      <c r="D31" s="30"/>
      <c r="E31" s="30"/>
      <c r="F31" s="46"/>
      <c r="G31" s="46"/>
      <c r="H31" s="30"/>
      <c r="I31" s="30"/>
      <c r="J31" s="46"/>
      <c r="K31" s="46"/>
      <c r="L31" s="30">
        <f>C31+D31-E31+F31-G31+H31-I31+J31-K31</f>
        <v>784572.04</v>
      </c>
      <c r="M31" s="30">
        <v>566235.9</v>
      </c>
      <c r="N31" s="30">
        <f t="shared" ref="N31:N97" si="3">L31-M31</f>
        <v>218336.14</v>
      </c>
      <c r="O31" s="40">
        <f t="shared" ref="O31:O40" si="4">M31/$M$136</f>
        <v>0.24075568375183681</v>
      </c>
    </row>
    <row r="32" spans="1:15" ht="15.95" customHeight="1" x14ac:dyDescent="0.2">
      <c r="A32" s="43" t="s">
        <v>39</v>
      </c>
      <c r="B32" s="31" t="s">
        <v>160</v>
      </c>
      <c r="C32" s="30">
        <v>4500</v>
      </c>
      <c r="D32" s="30"/>
      <c r="E32" s="30"/>
      <c r="F32" s="46">
        <v>11000</v>
      </c>
      <c r="G32" s="46"/>
      <c r="H32" s="30"/>
      <c r="I32" s="30"/>
      <c r="J32" s="46"/>
      <c r="K32" s="46"/>
      <c r="L32" s="30">
        <f>C32+D32-E32+F32-G32+H32-I32+J32-K32</f>
        <v>15500</v>
      </c>
      <c r="M32" s="30">
        <v>5625</v>
      </c>
      <c r="N32" s="30">
        <f t="shared" si="3"/>
        <v>9875</v>
      </c>
      <c r="O32" s="40">
        <f t="shared" si="4"/>
        <v>2.3916723067260166E-3</v>
      </c>
    </row>
    <row r="33" spans="1:15" ht="15.95" customHeight="1" x14ac:dyDescent="0.2">
      <c r="A33" s="43" t="s">
        <v>40</v>
      </c>
      <c r="B33" s="31" t="s">
        <v>161</v>
      </c>
      <c r="C33" s="30">
        <v>281100</v>
      </c>
      <c r="D33" s="30"/>
      <c r="E33" s="30"/>
      <c r="F33" s="46"/>
      <c r="G33" s="46"/>
      <c r="H33" s="30"/>
      <c r="I33" s="30"/>
      <c r="J33" s="46"/>
      <c r="K33" s="46"/>
      <c r="L33" s="30">
        <f t="shared" ref="L33:L40" si="5">C33+D33-E33+F33-G33+H33-I33+J33-K33</f>
        <v>281100</v>
      </c>
      <c r="M33" s="30">
        <v>191623.97</v>
      </c>
      <c r="N33" s="30">
        <f t="shared" si="3"/>
        <v>89476.03</v>
      </c>
      <c r="O33" s="40">
        <f t="shared" si="4"/>
        <v>8.1475865307359466E-2</v>
      </c>
    </row>
    <row r="34" spans="1:15" ht="15.95" customHeight="1" x14ac:dyDescent="0.2">
      <c r="A34" s="43" t="s">
        <v>41</v>
      </c>
      <c r="B34" s="31" t="s">
        <v>42</v>
      </c>
      <c r="C34" s="30">
        <v>17500</v>
      </c>
      <c r="D34" s="30"/>
      <c r="E34" s="30"/>
      <c r="F34" s="46"/>
      <c r="G34" s="46"/>
      <c r="H34" s="30"/>
      <c r="I34" s="30"/>
      <c r="J34" s="46"/>
      <c r="K34" s="46"/>
      <c r="L34" s="30">
        <f t="shared" si="5"/>
        <v>17500</v>
      </c>
      <c r="M34" s="30">
        <v>0</v>
      </c>
      <c r="N34" s="30">
        <f t="shared" si="3"/>
        <v>17500</v>
      </c>
      <c r="O34" s="40">
        <f t="shared" si="4"/>
        <v>0</v>
      </c>
    </row>
    <row r="35" spans="1:15" ht="15.95" customHeight="1" x14ac:dyDescent="0.2">
      <c r="A35" s="43" t="s">
        <v>43</v>
      </c>
      <c r="B35" s="31" t="s">
        <v>162</v>
      </c>
      <c r="C35" s="30">
        <v>34510.800000000003</v>
      </c>
      <c r="D35" s="30"/>
      <c r="E35" s="30"/>
      <c r="F35" s="46"/>
      <c r="G35" s="46"/>
      <c r="H35" s="30"/>
      <c r="I35" s="30"/>
      <c r="J35" s="46"/>
      <c r="K35" s="46"/>
      <c r="L35" s="30">
        <f t="shared" si="5"/>
        <v>34510.800000000003</v>
      </c>
      <c r="M35" s="30">
        <v>7079.65</v>
      </c>
      <c r="N35" s="30">
        <f t="shared" si="3"/>
        <v>27431.15</v>
      </c>
      <c r="O35" s="40">
        <f t="shared" si="4"/>
        <v>3.0101693949000606E-3</v>
      </c>
    </row>
    <row r="36" spans="1:15" ht="15.95" customHeight="1" x14ac:dyDescent="0.2">
      <c r="A36" s="43" t="s">
        <v>44</v>
      </c>
      <c r="B36" s="31" t="s">
        <v>163</v>
      </c>
      <c r="C36" s="30">
        <v>87401.15</v>
      </c>
      <c r="D36" s="30"/>
      <c r="E36" s="30"/>
      <c r="F36" s="46"/>
      <c r="G36" s="46"/>
      <c r="H36" s="30"/>
      <c r="I36" s="30"/>
      <c r="J36" s="46"/>
      <c r="K36" s="46"/>
      <c r="L36" s="30">
        <f t="shared" si="5"/>
        <v>87401.15</v>
      </c>
      <c r="M36" s="30">
        <v>61569.58</v>
      </c>
      <c r="N36" s="30">
        <f t="shared" si="3"/>
        <v>25831.569999999992</v>
      </c>
      <c r="O36" s="40">
        <f t="shared" si="4"/>
        <v>2.6178535008489247E-2</v>
      </c>
    </row>
    <row r="37" spans="1:15" ht="15.95" customHeight="1" x14ac:dyDescent="0.2">
      <c r="A37" s="43" t="s">
        <v>45</v>
      </c>
      <c r="B37" s="31" t="s">
        <v>164</v>
      </c>
      <c r="C37" s="30">
        <v>8190.84</v>
      </c>
      <c r="D37" s="30"/>
      <c r="E37" s="30"/>
      <c r="F37" s="46"/>
      <c r="G37" s="46"/>
      <c r="H37" s="30"/>
      <c r="I37" s="30"/>
      <c r="J37" s="46"/>
      <c r="K37" s="46"/>
      <c r="L37" s="30">
        <f t="shared" si="5"/>
        <v>8190.84</v>
      </c>
      <c r="M37" s="30">
        <v>5770.35</v>
      </c>
      <c r="N37" s="30">
        <f t="shared" si="3"/>
        <v>2420.4899999999998</v>
      </c>
      <c r="O37" s="40">
        <f t="shared" si="4"/>
        <v>2.4534731191318167E-3</v>
      </c>
    </row>
    <row r="38" spans="1:15" ht="15.95" customHeight="1" x14ac:dyDescent="0.2">
      <c r="A38" s="43" t="s">
        <v>46</v>
      </c>
      <c r="B38" s="31" t="s">
        <v>47</v>
      </c>
      <c r="C38" s="30">
        <v>67581.009999999995</v>
      </c>
      <c r="D38" s="30"/>
      <c r="E38" s="30"/>
      <c r="F38" s="46">
        <v>3000</v>
      </c>
      <c r="G38" s="46"/>
      <c r="H38" s="30"/>
      <c r="I38" s="30"/>
      <c r="J38" s="46"/>
      <c r="K38" s="46"/>
      <c r="L38" s="30">
        <f t="shared" si="5"/>
        <v>70581.009999999995</v>
      </c>
      <c r="M38" s="30">
        <v>7930.9</v>
      </c>
      <c r="N38" s="30">
        <f t="shared" si="3"/>
        <v>62650.109999999993</v>
      </c>
      <c r="O38" s="40">
        <f t="shared" si="4"/>
        <v>3.3721091373179312E-3</v>
      </c>
    </row>
    <row r="39" spans="1:15" ht="15.95" customHeight="1" x14ac:dyDescent="0.2">
      <c r="A39" s="43" t="s">
        <v>48</v>
      </c>
      <c r="B39" s="31" t="s">
        <v>165</v>
      </c>
      <c r="C39" s="30">
        <v>67581.009999999995</v>
      </c>
      <c r="D39" s="30"/>
      <c r="E39" s="30"/>
      <c r="F39" s="46">
        <v>3000</v>
      </c>
      <c r="G39" s="46"/>
      <c r="H39" s="30"/>
      <c r="I39" s="30"/>
      <c r="J39" s="46"/>
      <c r="K39" s="46"/>
      <c r="L39" s="30">
        <f t="shared" si="5"/>
        <v>70581.009999999995</v>
      </c>
      <c r="M39" s="30">
        <v>65786.990000000005</v>
      </c>
      <c r="N39" s="30">
        <f t="shared" si="3"/>
        <v>4794.0199999999895</v>
      </c>
      <c r="O39" s="40">
        <f t="shared" si="4"/>
        <v>2.7971719489042025E-2</v>
      </c>
    </row>
    <row r="40" spans="1:15" ht="15.95" customHeight="1" x14ac:dyDescent="0.2">
      <c r="A40" s="43" t="s">
        <v>49</v>
      </c>
      <c r="B40" s="31" t="s">
        <v>50</v>
      </c>
      <c r="C40" s="30">
        <v>4400</v>
      </c>
      <c r="D40" s="30"/>
      <c r="E40" s="30"/>
      <c r="F40" s="46"/>
      <c r="G40" s="46"/>
      <c r="H40" s="30">
        <v>1000</v>
      </c>
      <c r="I40" s="30"/>
      <c r="J40" s="46"/>
      <c r="K40" s="46"/>
      <c r="L40" s="30">
        <f t="shared" si="5"/>
        <v>5400</v>
      </c>
      <c r="M40" s="30">
        <v>99.73</v>
      </c>
      <c r="N40" s="30">
        <f t="shared" si="3"/>
        <v>5300.27</v>
      </c>
      <c r="O40" s="40">
        <f t="shared" si="4"/>
        <v>4.2403818515517443E-5</v>
      </c>
    </row>
    <row r="41" spans="1:15" ht="15.95" customHeight="1" x14ac:dyDescent="0.2">
      <c r="A41" s="43"/>
      <c r="B41" s="31"/>
      <c r="C41" s="30"/>
      <c r="D41" s="30"/>
      <c r="E41" s="30"/>
      <c r="F41" s="46"/>
      <c r="G41" s="46"/>
      <c r="H41" s="30"/>
      <c r="I41" s="30"/>
      <c r="J41" s="46"/>
      <c r="K41" s="46"/>
      <c r="L41" s="30"/>
      <c r="M41" s="30"/>
      <c r="N41" s="30"/>
      <c r="O41" s="40"/>
    </row>
    <row r="42" spans="1:15" ht="15.95" customHeight="1" x14ac:dyDescent="0.2">
      <c r="A42" s="43"/>
      <c r="B42" s="31"/>
      <c r="C42" s="30"/>
      <c r="D42" s="30"/>
      <c r="E42" s="30"/>
      <c r="F42" s="46"/>
      <c r="G42" s="46"/>
      <c r="H42" s="30"/>
      <c r="I42" s="30"/>
      <c r="J42" s="46"/>
      <c r="K42" s="46"/>
      <c r="L42" s="30"/>
      <c r="M42" s="30"/>
      <c r="N42" s="30"/>
      <c r="O42" s="40"/>
    </row>
    <row r="43" spans="1:15" ht="15.95" customHeight="1" x14ac:dyDescent="0.25">
      <c r="A43" s="41">
        <v>1</v>
      </c>
      <c r="B43" s="42" t="s">
        <v>51</v>
      </c>
      <c r="C43" s="28"/>
      <c r="D43" s="30"/>
      <c r="E43" s="30"/>
      <c r="F43" s="46"/>
      <c r="G43" s="46"/>
      <c r="H43" s="30"/>
      <c r="I43" s="30"/>
      <c r="J43" s="46"/>
      <c r="K43" s="46"/>
      <c r="L43" s="30"/>
      <c r="M43" s="30"/>
      <c r="N43" s="30"/>
      <c r="O43" s="40"/>
    </row>
    <row r="44" spans="1:15" ht="15.95" customHeight="1" x14ac:dyDescent="0.2">
      <c r="A44" s="43" t="s">
        <v>96</v>
      </c>
      <c r="B44" s="31" t="s">
        <v>52</v>
      </c>
      <c r="C44" s="30">
        <v>13750</v>
      </c>
      <c r="D44" s="30"/>
      <c r="E44" s="30"/>
      <c r="F44" s="46"/>
      <c r="G44" s="46"/>
      <c r="H44" s="30"/>
      <c r="I44" s="30"/>
      <c r="J44" s="46"/>
      <c r="K44" s="46"/>
      <c r="L44" s="30">
        <f t="shared" ref="L44:L77" si="6">C44+D44-E44+F44-G44+H44-I44+J44-K44</f>
        <v>13750</v>
      </c>
      <c r="M44" s="30">
        <v>4471.4799999999996</v>
      </c>
      <c r="N44" s="30">
        <f t="shared" si="3"/>
        <v>9278.52</v>
      </c>
      <c r="O44" s="40">
        <f t="shared" ref="O44:O59" si="7">M44/$M$136</f>
        <v>1.9012115353029772E-3</v>
      </c>
    </row>
    <row r="45" spans="1:15" ht="15.95" customHeight="1" x14ac:dyDescent="0.2">
      <c r="A45" s="43" t="s">
        <v>97</v>
      </c>
      <c r="B45" s="31" t="s">
        <v>53</v>
      </c>
      <c r="C45" s="30">
        <v>26100</v>
      </c>
      <c r="D45" s="30"/>
      <c r="E45" s="30"/>
      <c r="F45" s="46"/>
      <c r="G45" s="46"/>
      <c r="H45" s="30"/>
      <c r="I45" s="30"/>
      <c r="J45" s="46"/>
      <c r="K45" s="46"/>
      <c r="L45" s="30">
        <f t="shared" si="6"/>
        <v>26100</v>
      </c>
      <c r="M45" s="30">
        <v>14620.42</v>
      </c>
      <c r="N45" s="30">
        <f t="shared" si="3"/>
        <v>11479.58</v>
      </c>
      <c r="O45" s="40">
        <f t="shared" si="7"/>
        <v>6.2164006447472326E-3</v>
      </c>
    </row>
    <row r="46" spans="1:15" ht="15.95" customHeight="1" x14ac:dyDescent="0.2">
      <c r="A46" s="43" t="s">
        <v>98</v>
      </c>
      <c r="B46" s="31" t="s">
        <v>54</v>
      </c>
      <c r="C46" s="30">
        <v>2000</v>
      </c>
      <c r="D46" s="30"/>
      <c r="E46" s="30"/>
      <c r="F46" s="46"/>
      <c r="G46" s="46"/>
      <c r="H46" s="30"/>
      <c r="I46" s="30"/>
      <c r="J46" s="46"/>
      <c r="K46" s="46"/>
      <c r="L46" s="30">
        <f t="shared" si="6"/>
        <v>2000</v>
      </c>
      <c r="M46" s="30">
        <v>364.6</v>
      </c>
      <c r="N46" s="30">
        <f t="shared" si="3"/>
        <v>1635.4</v>
      </c>
      <c r="O46" s="40">
        <f t="shared" si="7"/>
        <v>1.5502288409463211E-4</v>
      </c>
    </row>
    <row r="47" spans="1:15" ht="15.95" customHeight="1" x14ac:dyDescent="0.2">
      <c r="A47" s="43" t="s">
        <v>99</v>
      </c>
      <c r="B47" s="31" t="s">
        <v>166</v>
      </c>
      <c r="C47" s="30">
        <v>8000</v>
      </c>
      <c r="D47" s="30"/>
      <c r="E47" s="30"/>
      <c r="F47" s="46">
        <v>5000</v>
      </c>
      <c r="G47" s="46"/>
      <c r="H47" s="30"/>
      <c r="I47" s="30"/>
      <c r="J47" s="46"/>
      <c r="K47" s="46"/>
      <c r="L47" s="30">
        <f t="shared" si="6"/>
        <v>13000</v>
      </c>
      <c r="M47" s="30">
        <v>5119.6099999999997</v>
      </c>
      <c r="N47" s="30">
        <f t="shared" si="3"/>
        <v>7880.39</v>
      </c>
      <c r="O47" s="40">
        <f t="shared" si="7"/>
        <v>2.1767874592422366E-3</v>
      </c>
    </row>
    <row r="48" spans="1:15" ht="15.95" customHeight="1" x14ac:dyDescent="0.2">
      <c r="A48" s="43" t="s">
        <v>100</v>
      </c>
      <c r="B48" s="31" t="s">
        <v>167</v>
      </c>
      <c r="C48" s="30">
        <v>14250</v>
      </c>
      <c r="D48" s="30"/>
      <c r="E48" s="30"/>
      <c r="F48" s="46">
        <v>1225</v>
      </c>
      <c r="G48" s="46">
        <v>1325</v>
      </c>
      <c r="H48" s="30"/>
      <c r="I48" s="30"/>
      <c r="J48" s="46"/>
      <c r="K48" s="46"/>
      <c r="L48" s="30">
        <f>C48+D48-E48+F48-G48+H48-I48+J48-K48</f>
        <v>14150</v>
      </c>
      <c r="M48" s="30">
        <v>1467.95</v>
      </c>
      <c r="N48" s="30">
        <f t="shared" si="3"/>
        <v>12682.05</v>
      </c>
      <c r="O48" s="40">
        <f t="shared" si="7"/>
        <v>6.2415206447261442E-4</v>
      </c>
    </row>
    <row r="49" spans="1:15" ht="15.95" customHeight="1" x14ac:dyDescent="0.2">
      <c r="A49" s="43" t="s">
        <v>101</v>
      </c>
      <c r="B49" s="31" t="s">
        <v>168</v>
      </c>
      <c r="C49" s="30">
        <v>1176868.53</v>
      </c>
      <c r="D49" s="30"/>
      <c r="E49" s="30">
        <v>129000</v>
      </c>
      <c r="F49" s="46"/>
      <c r="G49" s="46">
        <v>675646</v>
      </c>
      <c r="H49" s="30"/>
      <c r="I49" s="30"/>
      <c r="J49" s="46"/>
      <c r="K49" s="46"/>
      <c r="L49" s="30">
        <f t="shared" si="6"/>
        <v>372222.53</v>
      </c>
      <c r="M49" s="30">
        <v>242364.35</v>
      </c>
      <c r="N49" s="30">
        <f t="shared" si="3"/>
        <v>129858.18000000002</v>
      </c>
      <c r="O49" s="40">
        <f t="shared" si="7"/>
        <v>0.10304997405024917</v>
      </c>
    </row>
    <row r="50" spans="1:15" ht="15.95" customHeight="1" x14ac:dyDescent="0.2">
      <c r="A50" s="43" t="s">
        <v>102</v>
      </c>
      <c r="B50" s="31" t="s">
        <v>55</v>
      </c>
      <c r="C50" s="30">
        <v>619609.80000000005</v>
      </c>
      <c r="D50" s="30"/>
      <c r="E50" s="30"/>
      <c r="F50" s="46"/>
      <c r="G50" s="46">
        <v>452038.22</v>
      </c>
      <c r="H50" s="30"/>
      <c r="I50" s="30"/>
      <c r="J50" s="46"/>
      <c r="K50" s="46"/>
      <c r="L50" s="30">
        <f t="shared" si="6"/>
        <v>167571.58000000007</v>
      </c>
      <c r="M50" s="30">
        <v>77764.509999999995</v>
      </c>
      <c r="N50" s="30">
        <f t="shared" si="3"/>
        <v>89807.07000000008</v>
      </c>
      <c r="O50" s="40">
        <f t="shared" si="7"/>
        <v>3.3064395557887705E-2</v>
      </c>
    </row>
    <row r="51" spans="1:15" ht="15.95" customHeight="1" x14ac:dyDescent="0.2">
      <c r="A51" s="43" t="s">
        <v>103</v>
      </c>
      <c r="B51" s="31" t="s">
        <v>169</v>
      </c>
      <c r="C51" s="30">
        <v>504047.6</v>
      </c>
      <c r="D51" s="30"/>
      <c r="E51" s="30"/>
      <c r="F51" s="46"/>
      <c r="G51" s="46">
        <v>287247.59999999998</v>
      </c>
      <c r="H51" s="30"/>
      <c r="I51" s="30"/>
      <c r="J51" s="46"/>
      <c r="K51" s="46"/>
      <c r="L51" s="30">
        <f t="shared" si="6"/>
        <v>216800</v>
      </c>
      <c r="M51" s="30">
        <v>161379.76</v>
      </c>
      <c r="N51" s="30">
        <f t="shared" si="3"/>
        <v>55420.239999999991</v>
      </c>
      <c r="O51" s="40">
        <f t="shared" si="7"/>
        <v>6.8616444952549496E-2</v>
      </c>
    </row>
    <row r="52" spans="1:15" ht="15.95" customHeight="1" x14ac:dyDescent="0.2">
      <c r="A52" s="43" t="s">
        <v>104</v>
      </c>
      <c r="B52" s="31" t="s">
        <v>56</v>
      </c>
      <c r="C52" s="30">
        <v>20750</v>
      </c>
      <c r="D52" s="30"/>
      <c r="E52" s="30"/>
      <c r="F52" s="46">
        <v>8000</v>
      </c>
      <c r="G52" s="46"/>
      <c r="H52" s="30">
        <v>100000</v>
      </c>
      <c r="I52" s="30"/>
      <c r="J52" s="46"/>
      <c r="K52" s="46"/>
      <c r="L52" s="30">
        <f t="shared" si="6"/>
        <v>128750</v>
      </c>
      <c r="M52" s="30">
        <v>46144.58</v>
      </c>
      <c r="N52" s="30">
        <f t="shared" si="3"/>
        <v>82605.42</v>
      </c>
      <c r="O52" s="40">
        <f t="shared" si="7"/>
        <v>1.9620038060711682E-2</v>
      </c>
    </row>
    <row r="53" spans="1:15" ht="15.95" customHeight="1" x14ac:dyDescent="0.2">
      <c r="A53" s="43" t="s">
        <v>105</v>
      </c>
      <c r="B53" s="31" t="s">
        <v>57</v>
      </c>
      <c r="C53" s="30">
        <v>42500</v>
      </c>
      <c r="D53" s="30"/>
      <c r="E53" s="30"/>
      <c r="F53" s="46">
        <v>42500</v>
      </c>
      <c r="G53" s="46"/>
      <c r="H53" s="30"/>
      <c r="I53" s="30"/>
      <c r="J53" s="46"/>
      <c r="K53" s="46"/>
      <c r="L53" s="30">
        <f t="shared" si="6"/>
        <v>85000</v>
      </c>
      <c r="M53" s="30">
        <v>4900</v>
      </c>
      <c r="N53" s="30">
        <f t="shared" si="3"/>
        <v>80100</v>
      </c>
      <c r="O53" s="40">
        <f t="shared" si="7"/>
        <v>2.0834123205257741E-3</v>
      </c>
    </row>
    <row r="54" spans="1:15" ht="15.95" customHeight="1" x14ac:dyDescent="0.2">
      <c r="A54" s="43" t="s">
        <v>106</v>
      </c>
      <c r="B54" s="31" t="s">
        <v>58</v>
      </c>
      <c r="C54" s="30">
        <v>4400</v>
      </c>
      <c r="D54" s="30"/>
      <c r="E54" s="30"/>
      <c r="F54" s="46"/>
      <c r="G54" s="46"/>
      <c r="H54" s="30"/>
      <c r="I54" s="30"/>
      <c r="J54" s="46"/>
      <c r="K54" s="46"/>
      <c r="L54" s="30">
        <f t="shared" si="6"/>
        <v>4400</v>
      </c>
      <c r="M54" s="30">
        <v>1620</v>
      </c>
      <c r="N54" s="30">
        <f t="shared" si="3"/>
        <v>2780</v>
      </c>
      <c r="O54" s="40">
        <f t="shared" si="7"/>
        <v>6.8880162433709272E-4</v>
      </c>
    </row>
    <row r="55" spans="1:15" ht="15.95" customHeight="1" x14ac:dyDescent="0.2">
      <c r="A55" s="43" t="s">
        <v>107</v>
      </c>
      <c r="B55" s="31" t="s">
        <v>170</v>
      </c>
      <c r="C55" s="30">
        <v>3004.32</v>
      </c>
      <c r="D55" s="30"/>
      <c r="E55" s="30"/>
      <c r="F55" s="46"/>
      <c r="G55" s="46"/>
      <c r="H55" s="30"/>
      <c r="I55" s="30"/>
      <c r="J55" s="46"/>
      <c r="K55" s="46"/>
      <c r="L55" s="30">
        <f t="shared" si="6"/>
        <v>3004.32</v>
      </c>
      <c r="M55" s="30">
        <v>630</v>
      </c>
      <c r="N55" s="30">
        <f t="shared" si="3"/>
        <v>2374.3200000000002</v>
      </c>
      <c r="O55" s="40">
        <f t="shared" si="7"/>
        <v>2.6786729835331382E-4</v>
      </c>
    </row>
    <row r="56" spans="1:15" ht="15.95" customHeight="1" x14ac:dyDescent="0.2">
      <c r="A56" s="43" t="s">
        <v>108</v>
      </c>
      <c r="B56" s="31" t="s">
        <v>171</v>
      </c>
      <c r="C56" s="30">
        <v>7750</v>
      </c>
      <c r="D56" s="30"/>
      <c r="E56" s="30"/>
      <c r="F56" s="46">
        <v>20000</v>
      </c>
      <c r="G56" s="46"/>
      <c r="H56" s="30"/>
      <c r="I56" s="30"/>
      <c r="J56" s="46"/>
      <c r="K56" s="46"/>
      <c r="L56" s="30">
        <f t="shared" si="6"/>
        <v>27750</v>
      </c>
      <c r="M56" s="30">
        <v>4500</v>
      </c>
      <c r="N56" s="30">
        <f t="shared" si="3"/>
        <v>23250</v>
      </c>
      <c r="O56" s="40">
        <f t="shared" si="7"/>
        <v>1.9133378453808131E-3</v>
      </c>
    </row>
    <row r="57" spans="1:15" ht="15.95" customHeight="1" x14ac:dyDescent="0.2">
      <c r="A57" s="43" t="s">
        <v>109</v>
      </c>
      <c r="B57" s="31" t="s">
        <v>172</v>
      </c>
      <c r="C57" s="30">
        <v>7000</v>
      </c>
      <c r="D57" s="30"/>
      <c r="E57" s="30"/>
      <c r="F57" s="46"/>
      <c r="G57" s="46"/>
      <c r="H57" s="30"/>
      <c r="I57" s="30"/>
      <c r="J57" s="46"/>
      <c r="K57" s="46"/>
      <c r="L57" s="30">
        <f t="shared" si="6"/>
        <v>7000</v>
      </c>
      <c r="M57" s="30">
        <v>263.2</v>
      </c>
      <c r="N57" s="30">
        <f t="shared" si="3"/>
        <v>6736.8</v>
      </c>
      <c r="O57" s="40">
        <f t="shared" si="7"/>
        <v>1.1190900464538445E-4</v>
      </c>
    </row>
    <row r="58" spans="1:15" ht="15.95" customHeight="1" x14ac:dyDescent="0.2">
      <c r="A58" s="43" t="s">
        <v>110</v>
      </c>
      <c r="B58" s="31" t="s">
        <v>173</v>
      </c>
      <c r="C58" s="30">
        <v>4000</v>
      </c>
      <c r="D58" s="30"/>
      <c r="E58" s="30"/>
      <c r="F58" s="46">
        <v>3000</v>
      </c>
      <c r="G58" s="46"/>
      <c r="H58" s="30"/>
      <c r="I58" s="30"/>
      <c r="J58" s="46"/>
      <c r="K58" s="46"/>
      <c r="L58" s="30">
        <f t="shared" si="6"/>
        <v>7000</v>
      </c>
      <c r="M58" s="30">
        <v>1335</v>
      </c>
      <c r="N58" s="30">
        <f t="shared" si="3"/>
        <v>5665</v>
      </c>
      <c r="O58" s="40">
        <f t="shared" si="7"/>
        <v>5.6762356079630789E-4</v>
      </c>
    </row>
    <row r="59" spans="1:15" ht="15.95" hidden="1" customHeight="1" x14ac:dyDescent="0.2">
      <c r="A59" s="43" t="s">
        <v>111</v>
      </c>
      <c r="B59" s="31" t="s">
        <v>174</v>
      </c>
      <c r="C59" s="30"/>
      <c r="D59" s="30"/>
      <c r="E59" s="30"/>
      <c r="F59" s="46"/>
      <c r="G59" s="46"/>
      <c r="H59" s="30"/>
      <c r="I59" s="30"/>
      <c r="J59" s="46"/>
      <c r="K59" s="46"/>
      <c r="L59" s="30">
        <f t="shared" si="6"/>
        <v>0</v>
      </c>
      <c r="M59" s="30">
        <v>0</v>
      </c>
      <c r="N59" s="30">
        <f t="shared" si="3"/>
        <v>0</v>
      </c>
      <c r="O59" s="40">
        <f t="shared" si="7"/>
        <v>0</v>
      </c>
    </row>
    <row r="60" spans="1:15" ht="15.95" customHeight="1" x14ac:dyDescent="0.2">
      <c r="A60" s="43">
        <v>169</v>
      </c>
      <c r="B60" s="31" t="s">
        <v>271</v>
      </c>
      <c r="C60" s="30"/>
      <c r="D60" s="30"/>
      <c r="E60" s="30"/>
      <c r="F60" s="46">
        <v>10000</v>
      </c>
      <c r="G60" s="46"/>
      <c r="H60" s="30"/>
      <c r="I60" s="30"/>
      <c r="J60" s="46"/>
      <c r="K60" s="46"/>
      <c r="L60" s="30">
        <f t="shared" si="6"/>
        <v>10000</v>
      </c>
      <c r="M60" s="30"/>
      <c r="N60" s="30">
        <f t="shared" si="3"/>
        <v>10000</v>
      </c>
      <c r="O60" s="40"/>
    </row>
    <row r="61" spans="1:15" ht="15.95" customHeight="1" x14ac:dyDescent="0.2">
      <c r="A61" s="43">
        <v>171</v>
      </c>
      <c r="B61" s="31" t="s">
        <v>174</v>
      </c>
      <c r="C61" s="30"/>
      <c r="D61" s="30"/>
      <c r="E61" s="30"/>
      <c r="F61" s="46">
        <v>225000</v>
      </c>
      <c r="G61" s="46"/>
      <c r="H61" s="30"/>
      <c r="I61" s="30"/>
      <c r="J61" s="46"/>
      <c r="K61" s="46"/>
      <c r="L61" s="30">
        <f t="shared" si="6"/>
        <v>225000</v>
      </c>
      <c r="M61" s="30"/>
      <c r="N61" s="30">
        <f t="shared" si="3"/>
        <v>225000</v>
      </c>
      <c r="O61" s="40"/>
    </row>
    <row r="62" spans="1:15" ht="15.95" customHeight="1" x14ac:dyDescent="0.2">
      <c r="A62" s="43" t="s">
        <v>112</v>
      </c>
      <c r="B62" s="31" t="s">
        <v>175</v>
      </c>
      <c r="C62" s="30">
        <v>9750</v>
      </c>
      <c r="D62" s="30"/>
      <c r="E62" s="30"/>
      <c r="F62" s="46">
        <v>25000</v>
      </c>
      <c r="G62" s="46"/>
      <c r="H62" s="30"/>
      <c r="I62" s="30"/>
      <c r="J62" s="46"/>
      <c r="K62" s="46"/>
      <c r="L62" s="30">
        <f t="shared" si="6"/>
        <v>34750</v>
      </c>
      <c r="M62" s="30">
        <v>0</v>
      </c>
      <c r="N62" s="30">
        <f t="shared" si="3"/>
        <v>34750</v>
      </c>
      <c r="O62" s="40">
        <f t="shared" ref="O62:O77" si="8">M62/$M$136</f>
        <v>0</v>
      </c>
    </row>
    <row r="63" spans="1:15" ht="15.95" customHeight="1" x14ac:dyDescent="0.2">
      <c r="A63" s="43" t="s">
        <v>113</v>
      </c>
      <c r="B63" s="31" t="s">
        <v>176</v>
      </c>
      <c r="C63" s="30">
        <v>260706.83</v>
      </c>
      <c r="D63" s="30"/>
      <c r="E63" s="30"/>
      <c r="F63" s="46"/>
      <c r="G63" s="46"/>
      <c r="H63" s="30"/>
      <c r="I63" s="30"/>
      <c r="J63" s="46"/>
      <c r="K63" s="46"/>
      <c r="L63" s="30">
        <f t="shared" si="6"/>
        <v>260706.83</v>
      </c>
      <c r="M63" s="30">
        <v>0</v>
      </c>
      <c r="N63" s="30">
        <f t="shared" si="3"/>
        <v>260706.83</v>
      </c>
      <c r="O63" s="40">
        <f t="shared" si="8"/>
        <v>0</v>
      </c>
    </row>
    <row r="64" spans="1:15" ht="15.95" customHeight="1" x14ac:dyDescent="0.2">
      <c r="A64" s="43">
        <v>182</v>
      </c>
      <c r="B64" s="31" t="s">
        <v>255</v>
      </c>
      <c r="C64" s="30">
        <v>0</v>
      </c>
      <c r="D64" s="30">
        <v>2500</v>
      </c>
      <c r="E64" s="30"/>
      <c r="F64" s="46"/>
      <c r="G64" s="46"/>
      <c r="H64" s="30"/>
      <c r="I64" s="30"/>
      <c r="J64" s="46"/>
      <c r="K64" s="46"/>
      <c r="L64" s="30">
        <f t="shared" si="6"/>
        <v>2500</v>
      </c>
      <c r="M64" s="30">
        <v>0</v>
      </c>
      <c r="N64" s="30">
        <f t="shared" si="3"/>
        <v>2500</v>
      </c>
      <c r="O64" s="40">
        <f t="shared" si="8"/>
        <v>0</v>
      </c>
    </row>
    <row r="65" spans="1:15" ht="15.95" customHeight="1" x14ac:dyDescent="0.2">
      <c r="A65" s="43" t="s">
        <v>114</v>
      </c>
      <c r="B65" s="31" t="s">
        <v>177</v>
      </c>
      <c r="C65" s="30">
        <v>15000</v>
      </c>
      <c r="D65" s="30">
        <v>12000</v>
      </c>
      <c r="E65" s="30"/>
      <c r="F65" s="46"/>
      <c r="G65" s="46"/>
      <c r="H65" s="30"/>
      <c r="I65" s="30"/>
      <c r="J65" s="46"/>
      <c r="K65" s="46"/>
      <c r="L65" s="30">
        <f t="shared" si="6"/>
        <v>27000</v>
      </c>
      <c r="M65" s="30">
        <v>5350</v>
      </c>
      <c r="N65" s="30">
        <f t="shared" si="3"/>
        <v>21650</v>
      </c>
      <c r="O65" s="40">
        <f t="shared" si="8"/>
        <v>2.2747461050638554E-3</v>
      </c>
    </row>
    <row r="66" spans="1:15" ht="15.95" customHeight="1" x14ac:dyDescent="0.2">
      <c r="A66" s="43" t="s">
        <v>115</v>
      </c>
      <c r="B66" s="31" t="s">
        <v>178</v>
      </c>
      <c r="C66" s="30">
        <v>54000</v>
      </c>
      <c r="D66" s="30"/>
      <c r="E66" s="30"/>
      <c r="F66" s="46"/>
      <c r="G66" s="46"/>
      <c r="H66" s="30"/>
      <c r="I66" s="30"/>
      <c r="J66" s="46"/>
      <c r="K66" s="46"/>
      <c r="L66" s="30">
        <f t="shared" si="6"/>
        <v>54000</v>
      </c>
      <c r="M66" s="30">
        <v>40500</v>
      </c>
      <c r="N66" s="30">
        <f t="shared" si="3"/>
        <v>13500</v>
      </c>
      <c r="O66" s="40">
        <f t="shared" si="8"/>
        <v>1.7220040608427318E-2</v>
      </c>
    </row>
    <row r="67" spans="1:15" ht="15.95" customHeight="1" x14ac:dyDescent="0.2">
      <c r="A67" s="43" t="s">
        <v>116</v>
      </c>
      <c r="B67" s="31" t="s">
        <v>59</v>
      </c>
      <c r="C67" s="30">
        <v>7500</v>
      </c>
      <c r="D67" s="30"/>
      <c r="E67" s="30"/>
      <c r="F67" s="46"/>
      <c r="G67" s="46"/>
      <c r="H67" s="30"/>
      <c r="I67" s="30"/>
      <c r="J67" s="46"/>
      <c r="K67" s="46"/>
      <c r="L67" s="30">
        <f t="shared" si="6"/>
        <v>7500</v>
      </c>
      <c r="M67" s="30">
        <v>500</v>
      </c>
      <c r="N67" s="30">
        <f t="shared" si="3"/>
        <v>7000</v>
      </c>
      <c r="O67" s="40">
        <f t="shared" si="8"/>
        <v>2.1259309393120146E-4</v>
      </c>
    </row>
    <row r="68" spans="1:15" ht="15.95" customHeight="1" x14ac:dyDescent="0.2">
      <c r="A68" s="43" t="s">
        <v>117</v>
      </c>
      <c r="B68" s="31" t="s">
        <v>179</v>
      </c>
      <c r="C68" s="30">
        <v>24540</v>
      </c>
      <c r="D68" s="30"/>
      <c r="E68" s="30"/>
      <c r="F68" s="46"/>
      <c r="G68" s="46"/>
      <c r="H68" s="30"/>
      <c r="I68" s="30"/>
      <c r="J68" s="46"/>
      <c r="K68" s="46"/>
      <c r="L68" s="30">
        <f t="shared" si="6"/>
        <v>24540</v>
      </c>
      <c r="M68" s="30">
        <v>11142</v>
      </c>
      <c r="N68" s="30">
        <f t="shared" si="3"/>
        <v>13398</v>
      </c>
      <c r="O68" s="40">
        <f t="shared" si="8"/>
        <v>4.7374245051628929E-3</v>
      </c>
    </row>
    <row r="69" spans="1:15" ht="15.95" customHeight="1" x14ac:dyDescent="0.2">
      <c r="A69" s="43" t="s">
        <v>118</v>
      </c>
      <c r="B69" s="31" t="s">
        <v>180</v>
      </c>
      <c r="C69" s="30">
        <v>8000</v>
      </c>
      <c r="D69" s="30"/>
      <c r="E69" s="30"/>
      <c r="F69" s="46">
        <v>1836</v>
      </c>
      <c r="G69" s="46">
        <v>4400</v>
      </c>
      <c r="H69" s="30"/>
      <c r="I69" s="30"/>
      <c r="J69" s="46"/>
      <c r="K69" s="46"/>
      <c r="L69" s="30">
        <f t="shared" si="6"/>
        <v>5436</v>
      </c>
      <c r="M69" s="30">
        <v>3200</v>
      </c>
      <c r="N69" s="30">
        <f t="shared" si="3"/>
        <v>2236</v>
      </c>
      <c r="O69" s="40">
        <f t="shared" si="8"/>
        <v>1.3605958011596894E-3</v>
      </c>
    </row>
    <row r="70" spans="1:15" ht="15.95" customHeight="1" x14ac:dyDescent="0.2">
      <c r="A70" s="43" t="s">
        <v>119</v>
      </c>
      <c r="B70" s="31" t="s">
        <v>181</v>
      </c>
      <c r="C70" s="30">
        <v>8000</v>
      </c>
      <c r="D70" s="30"/>
      <c r="E70" s="30"/>
      <c r="F70" s="46"/>
      <c r="G70" s="46"/>
      <c r="H70" s="30"/>
      <c r="I70" s="30"/>
      <c r="J70" s="46"/>
      <c r="K70" s="46"/>
      <c r="L70" s="30">
        <f t="shared" si="6"/>
        <v>8000</v>
      </c>
      <c r="M70" s="30">
        <v>0</v>
      </c>
      <c r="N70" s="30">
        <f t="shared" si="3"/>
        <v>8000</v>
      </c>
      <c r="O70" s="40">
        <f t="shared" si="8"/>
        <v>0</v>
      </c>
    </row>
    <row r="71" spans="1:15" ht="15.95" customHeight="1" x14ac:dyDescent="0.2">
      <c r="A71" s="43" t="s">
        <v>120</v>
      </c>
      <c r="B71" s="31" t="s">
        <v>60</v>
      </c>
      <c r="C71" s="30">
        <v>225800</v>
      </c>
      <c r="D71" s="30">
        <v>17000</v>
      </c>
      <c r="E71" s="30"/>
      <c r="F71" s="46"/>
      <c r="G71" s="46">
        <v>1300</v>
      </c>
      <c r="H71" s="30"/>
      <c r="I71" s="30"/>
      <c r="J71" s="46"/>
      <c r="K71" s="46"/>
      <c r="L71" s="30">
        <f t="shared" si="6"/>
        <v>241500</v>
      </c>
      <c r="M71" s="30">
        <v>188820</v>
      </c>
      <c r="N71" s="30">
        <f t="shared" si="3"/>
        <v>52680</v>
      </c>
      <c r="O71" s="40">
        <f t="shared" si="8"/>
        <v>8.0283655992178918E-2</v>
      </c>
    </row>
    <row r="72" spans="1:15" ht="15.95" customHeight="1" x14ac:dyDescent="0.2">
      <c r="A72" s="43" t="s">
        <v>121</v>
      </c>
      <c r="B72" s="31" t="s">
        <v>182</v>
      </c>
      <c r="C72" s="30">
        <v>8250</v>
      </c>
      <c r="D72" s="30"/>
      <c r="E72" s="30"/>
      <c r="F72" s="46"/>
      <c r="G72" s="46"/>
      <c r="H72" s="30"/>
      <c r="I72" s="30"/>
      <c r="J72" s="46"/>
      <c r="K72" s="46"/>
      <c r="L72" s="30">
        <f t="shared" si="6"/>
        <v>8250</v>
      </c>
      <c r="M72" s="30">
        <v>3768.78</v>
      </c>
      <c r="N72" s="30">
        <f t="shared" si="3"/>
        <v>4481.2199999999993</v>
      </c>
      <c r="O72" s="40">
        <f t="shared" si="8"/>
        <v>1.6024332010920669E-3</v>
      </c>
    </row>
    <row r="73" spans="1:15" ht="15.95" customHeight="1" x14ac:dyDescent="0.2">
      <c r="A73" s="43" t="s">
        <v>122</v>
      </c>
      <c r="B73" s="31" t="s">
        <v>183</v>
      </c>
      <c r="C73" s="30">
        <v>2500</v>
      </c>
      <c r="D73" s="30"/>
      <c r="E73" s="30"/>
      <c r="F73" s="46"/>
      <c r="G73" s="46"/>
      <c r="H73" s="30"/>
      <c r="I73" s="30"/>
      <c r="J73" s="46"/>
      <c r="K73" s="46"/>
      <c r="L73" s="30">
        <f t="shared" si="6"/>
        <v>2500</v>
      </c>
      <c r="M73" s="30">
        <v>1647.99</v>
      </c>
      <c r="N73" s="30">
        <f t="shared" si="3"/>
        <v>852.01</v>
      </c>
      <c r="O73" s="40">
        <f t="shared" si="8"/>
        <v>7.0070258573536135E-4</v>
      </c>
    </row>
    <row r="74" spans="1:15" ht="15.95" customHeight="1" x14ac:dyDescent="0.2">
      <c r="A74" s="43" t="s">
        <v>123</v>
      </c>
      <c r="B74" s="31" t="s">
        <v>61</v>
      </c>
      <c r="C74" s="30">
        <v>7000</v>
      </c>
      <c r="D74" s="30"/>
      <c r="E74" s="30"/>
      <c r="F74" s="46">
        <v>50000</v>
      </c>
      <c r="G74" s="46"/>
      <c r="H74" s="30"/>
      <c r="I74" s="30"/>
      <c r="J74" s="46"/>
      <c r="K74" s="46"/>
      <c r="L74" s="30">
        <f t="shared" si="6"/>
        <v>57000</v>
      </c>
      <c r="M74" s="30">
        <v>47437.47</v>
      </c>
      <c r="N74" s="30">
        <f t="shared" si="3"/>
        <v>9562.5299999999988</v>
      </c>
      <c r="O74" s="40">
        <f t="shared" si="8"/>
        <v>2.0169757031137103E-2</v>
      </c>
    </row>
    <row r="75" spans="1:15" ht="15.95" customHeight="1" x14ac:dyDescent="0.2">
      <c r="A75" s="43" t="s">
        <v>124</v>
      </c>
      <c r="B75" s="31" t="s">
        <v>184</v>
      </c>
      <c r="C75" s="30">
        <v>2000</v>
      </c>
      <c r="D75" s="30"/>
      <c r="E75" s="30"/>
      <c r="F75" s="46"/>
      <c r="G75" s="46"/>
      <c r="H75" s="30"/>
      <c r="I75" s="30"/>
      <c r="J75" s="46"/>
      <c r="K75" s="46"/>
      <c r="L75" s="30">
        <f t="shared" si="6"/>
        <v>2000</v>
      </c>
      <c r="M75" s="30">
        <v>0</v>
      </c>
      <c r="N75" s="30">
        <f t="shared" si="3"/>
        <v>2000</v>
      </c>
      <c r="O75" s="40">
        <f t="shared" si="8"/>
        <v>0</v>
      </c>
    </row>
    <row r="76" spans="1:15" ht="15.95" customHeight="1" x14ac:dyDescent="0.2">
      <c r="A76" s="43" t="s">
        <v>185</v>
      </c>
      <c r="B76" s="31" t="s">
        <v>157</v>
      </c>
      <c r="C76" s="30">
        <v>89500</v>
      </c>
      <c r="D76" s="30"/>
      <c r="E76" s="30"/>
      <c r="F76" s="46"/>
      <c r="G76" s="46"/>
      <c r="H76" s="30">
        <v>35000</v>
      </c>
      <c r="I76" s="30"/>
      <c r="J76" s="46"/>
      <c r="K76" s="46"/>
      <c r="L76" s="30">
        <f t="shared" si="6"/>
        <v>124500</v>
      </c>
      <c r="M76" s="30">
        <v>44775</v>
      </c>
      <c r="N76" s="30">
        <f t="shared" si="3"/>
        <v>79725</v>
      </c>
      <c r="O76" s="40">
        <f t="shared" si="8"/>
        <v>1.9037711561539092E-2</v>
      </c>
    </row>
    <row r="77" spans="1:15" ht="15.95" customHeight="1" x14ac:dyDescent="0.2">
      <c r="A77" s="43" t="s">
        <v>125</v>
      </c>
      <c r="B77" s="31" t="s">
        <v>186</v>
      </c>
      <c r="C77" s="30">
        <v>21000</v>
      </c>
      <c r="D77" s="30">
        <v>3500</v>
      </c>
      <c r="E77" s="30"/>
      <c r="F77" s="46">
        <f>15000+100000</f>
        <v>115000</v>
      </c>
      <c r="G77" s="46">
        <v>6000</v>
      </c>
      <c r="H77" s="30"/>
      <c r="I77" s="30"/>
      <c r="J77" s="46"/>
      <c r="K77" s="46"/>
      <c r="L77" s="30">
        <f t="shared" si="6"/>
        <v>133500</v>
      </c>
      <c r="M77" s="30">
        <v>26191.200000000001</v>
      </c>
      <c r="N77" s="30">
        <f t="shared" si="3"/>
        <v>107308.8</v>
      </c>
      <c r="O77" s="40">
        <f t="shared" si="8"/>
        <v>1.1136136483541767E-2</v>
      </c>
    </row>
    <row r="78" spans="1:15" ht="15.95" customHeight="1" x14ac:dyDescent="0.2">
      <c r="A78" s="43"/>
      <c r="B78" s="31"/>
      <c r="C78" s="30"/>
      <c r="D78" s="30"/>
      <c r="E78" s="30"/>
      <c r="F78" s="46"/>
      <c r="G78" s="46"/>
      <c r="H78" s="30"/>
      <c r="I78" s="30"/>
      <c r="J78" s="46"/>
      <c r="K78" s="46"/>
      <c r="L78" s="30"/>
      <c r="M78" s="30"/>
      <c r="N78" s="30"/>
      <c r="O78" s="40"/>
    </row>
    <row r="79" spans="1:15" ht="15.95" customHeight="1" x14ac:dyDescent="0.2">
      <c r="A79" s="43"/>
      <c r="B79" s="31"/>
      <c r="C79" s="30"/>
      <c r="D79" s="30"/>
      <c r="E79" s="30"/>
      <c r="F79" s="46"/>
      <c r="G79" s="46"/>
      <c r="H79" s="30"/>
      <c r="I79" s="30"/>
      <c r="J79" s="46"/>
      <c r="K79" s="46"/>
      <c r="L79" s="30"/>
      <c r="M79" s="30"/>
      <c r="N79" s="30"/>
      <c r="O79" s="40"/>
    </row>
    <row r="80" spans="1:15" ht="15.95" customHeight="1" x14ac:dyDescent="0.25">
      <c r="A80" s="41">
        <v>2</v>
      </c>
      <c r="B80" s="42" t="s">
        <v>62</v>
      </c>
      <c r="C80" s="28"/>
      <c r="D80" s="30"/>
      <c r="E80" s="30"/>
      <c r="F80" s="46"/>
      <c r="G80" s="46"/>
      <c r="H80" s="30"/>
      <c r="I80" s="30"/>
      <c r="J80" s="46"/>
      <c r="K80" s="46"/>
      <c r="L80" s="30"/>
      <c r="M80" s="30"/>
      <c r="N80" s="30"/>
      <c r="O80" s="40"/>
    </row>
    <row r="81" spans="1:15" ht="15.95" customHeight="1" x14ac:dyDescent="0.2">
      <c r="A81" s="43" t="s">
        <v>126</v>
      </c>
      <c r="B81" s="31" t="s">
        <v>63</v>
      </c>
      <c r="C81" s="30">
        <v>114414.1</v>
      </c>
      <c r="D81" s="30"/>
      <c r="E81" s="30"/>
      <c r="F81" s="46"/>
      <c r="G81" s="46">
        <v>29550.1</v>
      </c>
      <c r="H81" s="30"/>
      <c r="I81" s="30"/>
      <c r="J81" s="46"/>
      <c r="K81" s="46"/>
      <c r="L81" s="30">
        <f t="shared" ref="L81:L117" si="9">C81+D81-E81+F81-G81+H81-I81+J81-K81</f>
        <v>84864</v>
      </c>
      <c r="M81" s="30">
        <v>24079.65</v>
      </c>
      <c r="N81" s="30">
        <f t="shared" si="3"/>
        <v>60784.35</v>
      </c>
      <c r="O81" s="40">
        <f t="shared" ref="O81:O117" si="10">M81/$M$136</f>
        <v>1.0238334588560912E-2</v>
      </c>
    </row>
    <row r="82" spans="1:15" ht="15.95" hidden="1" customHeight="1" x14ac:dyDescent="0.2">
      <c r="A82" s="43">
        <v>214</v>
      </c>
      <c r="B82" s="31" t="s">
        <v>198</v>
      </c>
      <c r="C82" s="30"/>
      <c r="D82" s="30"/>
      <c r="E82" s="30"/>
      <c r="F82" s="46"/>
      <c r="G82" s="46"/>
      <c r="H82" s="30"/>
      <c r="I82" s="30"/>
      <c r="J82" s="46"/>
      <c r="K82" s="46"/>
      <c r="L82" s="30">
        <f t="shared" si="9"/>
        <v>0</v>
      </c>
      <c r="M82" s="30">
        <v>0</v>
      </c>
      <c r="N82" s="30">
        <f t="shared" si="3"/>
        <v>0</v>
      </c>
      <c r="O82" s="40">
        <f t="shared" si="10"/>
        <v>0</v>
      </c>
    </row>
    <row r="83" spans="1:15" ht="15.95" customHeight="1" x14ac:dyDescent="0.2">
      <c r="A83" s="43">
        <v>223</v>
      </c>
      <c r="B83" s="31" t="s">
        <v>199</v>
      </c>
      <c r="C83" s="30">
        <v>0</v>
      </c>
      <c r="D83" s="30">
        <v>1500</v>
      </c>
      <c r="E83" s="30"/>
      <c r="F83" s="46">
        <v>2000</v>
      </c>
      <c r="G83" s="46"/>
      <c r="H83" s="30"/>
      <c r="I83" s="30"/>
      <c r="J83" s="46"/>
      <c r="K83" s="46"/>
      <c r="L83" s="30">
        <f t="shared" si="9"/>
        <v>3500</v>
      </c>
      <c r="M83" s="30">
        <v>100</v>
      </c>
      <c r="N83" s="30">
        <f t="shared" si="3"/>
        <v>3400</v>
      </c>
      <c r="O83" s="40">
        <f t="shared" si="10"/>
        <v>4.2518618786240294E-5</v>
      </c>
    </row>
    <row r="84" spans="1:15" ht="15.95" hidden="1" customHeight="1" x14ac:dyDescent="0.2">
      <c r="A84" s="43">
        <v>229</v>
      </c>
      <c r="B84" s="31" t="s">
        <v>200</v>
      </c>
      <c r="C84" s="30"/>
      <c r="D84" s="30"/>
      <c r="E84" s="30"/>
      <c r="F84" s="46"/>
      <c r="G84" s="46"/>
      <c r="H84" s="30"/>
      <c r="I84" s="30"/>
      <c r="J84" s="46"/>
      <c r="K84" s="46"/>
      <c r="L84" s="30">
        <f t="shared" si="9"/>
        <v>0</v>
      </c>
      <c r="M84" s="30">
        <v>0</v>
      </c>
      <c r="N84" s="30">
        <f t="shared" si="3"/>
        <v>0</v>
      </c>
      <c r="O84" s="40">
        <f t="shared" si="10"/>
        <v>0</v>
      </c>
    </row>
    <row r="85" spans="1:15" ht="15.95" customHeight="1" x14ac:dyDescent="0.2">
      <c r="A85" s="43" t="s">
        <v>127</v>
      </c>
      <c r="B85" s="31" t="s">
        <v>64</v>
      </c>
      <c r="C85" s="30">
        <v>2750</v>
      </c>
      <c r="D85" s="30"/>
      <c r="E85" s="30"/>
      <c r="F85" s="46">
        <v>5000</v>
      </c>
      <c r="G85" s="46"/>
      <c r="H85" s="30"/>
      <c r="I85" s="30"/>
      <c r="J85" s="46"/>
      <c r="K85" s="46"/>
      <c r="L85" s="30">
        <f t="shared" si="9"/>
        <v>7750</v>
      </c>
      <c r="M85" s="30">
        <v>1097.47</v>
      </c>
      <c r="N85" s="30">
        <f t="shared" si="3"/>
        <v>6652.53</v>
      </c>
      <c r="O85" s="40">
        <f t="shared" si="10"/>
        <v>4.6662908559335134E-4</v>
      </c>
    </row>
    <row r="86" spans="1:15" ht="15.95" customHeight="1" x14ac:dyDescent="0.2">
      <c r="A86" s="43" t="s">
        <v>128</v>
      </c>
      <c r="B86" s="31" t="s">
        <v>65</v>
      </c>
      <c r="C86" s="30">
        <v>16800</v>
      </c>
      <c r="D86" s="30"/>
      <c r="E86" s="30"/>
      <c r="F86" s="46">
        <v>10000</v>
      </c>
      <c r="G86" s="46"/>
      <c r="H86" s="30"/>
      <c r="I86" s="30"/>
      <c r="J86" s="46"/>
      <c r="K86" s="46"/>
      <c r="L86" s="30">
        <f t="shared" si="9"/>
        <v>26800</v>
      </c>
      <c r="M86" s="30">
        <v>608</v>
      </c>
      <c r="N86" s="30">
        <f t="shared" si="3"/>
        <v>26192</v>
      </c>
      <c r="O86" s="40">
        <f t="shared" si="10"/>
        <v>2.5851320222034099E-4</v>
      </c>
    </row>
    <row r="87" spans="1:15" ht="15.95" customHeight="1" x14ac:dyDescent="0.2">
      <c r="A87" s="43" t="s">
        <v>129</v>
      </c>
      <c r="B87" s="31" t="s">
        <v>66</v>
      </c>
      <c r="C87" s="30">
        <v>5250</v>
      </c>
      <c r="D87" s="30"/>
      <c r="E87" s="30"/>
      <c r="F87" s="46">
        <v>10000</v>
      </c>
      <c r="G87" s="46"/>
      <c r="H87" s="30"/>
      <c r="I87" s="30"/>
      <c r="J87" s="46"/>
      <c r="K87" s="46"/>
      <c r="L87" s="30">
        <f t="shared" si="9"/>
        <v>15250</v>
      </c>
      <c r="M87" s="30">
        <v>1733.6</v>
      </c>
      <c r="N87" s="30">
        <f t="shared" si="3"/>
        <v>13516.4</v>
      </c>
      <c r="O87" s="40">
        <f t="shared" si="10"/>
        <v>7.3710277527826162E-4</v>
      </c>
    </row>
    <row r="88" spans="1:15" ht="15.95" customHeight="1" x14ac:dyDescent="0.2">
      <c r="A88" s="43" t="s">
        <v>130</v>
      </c>
      <c r="B88" s="31" t="s">
        <v>67</v>
      </c>
      <c r="C88" s="30">
        <v>1500</v>
      </c>
      <c r="D88" s="30"/>
      <c r="E88" s="30"/>
      <c r="F88" s="46">
        <f>4000+5000</f>
        <v>9000</v>
      </c>
      <c r="G88" s="46"/>
      <c r="H88" s="30"/>
      <c r="I88" s="30"/>
      <c r="J88" s="46"/>
      <c r="K88" s="46"/>
      <c r="L88" s="30">
        <f t="shared" si="9"/>
        <v>10500</v>
      </c>
      <c r="M88" s="30">
        <v>3093.5</v>
      </c>
      <c r="N88" s="30">
        <f t="shared" si="3"/>
        <v>7406.5</v>
      </c>
      <c r="O88" s="40">
        <f t="shared" si="10"/>
        <v>1.3153134721523435E-3</v>
      </c>
    </row>
    <row r="89" spans="1:15" ht="15.95" customHeight="1" x14ac:dyDescent="0.2">
      <c r="A89" s="43" t="s">
        <v>131</v>
      </c>
      <c r="B89" s="31" t="s">
        <v>201</v>
      </c>
      <c r="C89" s="30">
        <v>3050</v>
      </c>
      <c r="D89" s="30"/>
      <c r="E89" s="30"/>
      <c r="F89" s="46"/>
      <c r="G89" s="46"/>
      <c r="H89" s="30"/>
      <c r="I89" s="30"/>
      <c r="J89" s="46"/>
      <c r="K89" s="46"/>
      <c r="L89" s="30">
        <f t="shared" si="9"/>
        <v>3050</v>
      </c>
      <c r="M89" s="30">
        <v>1271.9000000000001</v>
      </c>
      <c r="N89" s="30">
        <f t="shared" si="3"/>
        <v>1778.1</v>
      </c>
      <c r="O89" s="40">
        <f t="shared" si="10"/>
        <v>5.4079431234219035E-4</v>
      </c>
    </row>
    <row r="90" spans="1:15" ht="15.95" customHeight="1" x14ac:dyDescent="0.2">
      <c r="A90" s="43" t="s">
        <v>132</v>
      </c>
      <c r="B90" s="31" t="s">
        <v>68</v>
      </c>
      <c r="C90" s="30">
        <v>875</v>
      </c>
      <c r="D90" s="30"/>
      <c r="E90" s="30"/>
      <c r="F90" s="46"/>
      <c r="G90" s="46"/>
      <c r="H90" s="30"/>
      <c r="I90" s="30"/>
      <c r="J90" s="46"/>
      <c r="K90" s="46"/>
      <c r="L90" s="30">
        <f t="shared" si="9"/>
        <v>875</v>
      </c>
      <c r="M90" s="30">
        <v>35</v>
      </c>
      <c r="N90" s="30">
        <f t="shared" si="3"/>
        <v>840</v>
      </c>
      <c r="O90" s="40">
        <f t="shared" si="10"/>
        <v>1.4881516575184103E-5</v>
      </c>
    </row>
    <row r="91" spans="1:15" ht="15.95" customHeight="1" x14ac:dyDescent="0.2">
      <c r="A91" s="43" t="s">
        <v>133</v>
      </c>
      <c r="B91" s="31" t="s">
        <v>202</v>
      </c>
      <c r="C91" s="30">
        <v>5500</v>
      </c>
      <c r="D91" s="30"/>
      <c r="E91" s="30"/>
      <c r="F91" s="46">
        <v>2000</v>
      </c>
      <c r="G91" s="46"/>
      <c r="H91" s="30"/>
      <c r="I91" s="30"/>
      <c r="J91" s="46"/>
      <c r="K91" s="46"/>
      <c r="L91" s="30">
        <f t="shared" si="9"/>
        <v>7500</v>
      </c>
      <c r="M91" s="30">
        <v>324</v>
      </c>
      <c r="N91" s="30">
        <f t="shared" si="3"/>
        <v>7176</v>
      </c>
      <c r="O91" s="40">
        <f t="shared" si="10"/>
        <v>1.3776032486741854E-4</v>
      </c>
    </row>
    <row r="92" spans="1:15" ht="15.95" customHeight="1" x14ac:dyDescent="0.2">
      <c r="A92" s="43" t="s">
        <v>134</v>
      </c>
      <c r="B92" s="31" t="s">
        <v>69</v>
      </c>
      <c r="C92" s="30">
        <v>2700</v>
      </c>
      <c r="D92" s="30"/>
      <c r="E92" s="30"/>
      <c r="F92" s="46"/>
      <c r="G92" s="46"/>
      <c r="H92" s="30"/>
      <c r="I92" s="30"/>
      <c r="J92" s="46"/>
      <c r="K92" s="46"/>
      <c r="L92" s="30">
        <f t="shared" si="9"/>
        <v>2700</v>
      </c>
      <c r="M92" s="30">
        <v>290</v>
      </c>
      <c r="N92" s="30">
        <f t="shared" si="3"/>
        <v>2410</v>
      </c>
      <c r="O92" s="40">
        <f t="shared" si="10"/>
        <v>1.2330399448009686E-4</v>
      </c>
    </row>
    <row r="93" spans="1:15" ht="15.95" customHeight="1" x14ac:dyDescent="0.2">
      <c r="A93" s="43" t="s">
        <v>203</v>
      </c>
      <c r="B93" s="31" t="s">
        <v>204</v>
      </c>
      <c r="C93" s="30">
        <v>2800</v>
      </c>
      <c r="D93" s="30"/>
      <c r="E93" s="30"/>
      <c r="F93" s="46">
        <v>2000</v>
      </c>
      <c r="G93" s="46"/>
      <c r="H93" s="30"/>
      <c r="I93" s="30"/>
      <c r="J93" s="46"/>
      <c r="K93" s="46"/>
      <c r="L93" s="30">
        <f t="shared" si="9"/>
        <v>4800</v>
      </c>
      <c r="M93" s="30">
        <v>202</v>
      </c>
      <c r="N93" s="30">
        <f t="shared" si="3"/>
        <v>4598</v>
      </c>
      <c r="O93" s="40">
        <f t="shared" si="10"/>
        <v>8.5887609948205387E-5</v>
      </c>
    </row>
    <row r="94" spans="1:15" ht="15.95" customHeight="1" x14ac:dyDescent="0.2">
      <c r="A94" s="43" t="s">
        <v>135</v>
      </c>
      <c r="B94" s="31" t="s">
        <v>70</v>
      </c>
      <c r="C94" s="30">
        <v>8500</v>
      </c>
      <c r="D94" s="30"/>
      <c r="E94" s="30"/>
      <c r="F94" s="46">
        <v>2000</v>
      </c>
      <c r="G94" s="46"/>
      <c r="H94" s="30"/>
      <c r="I94" s="30"/>
      <c r="J94" s="46"/>
      <c r="K94" s="46"/>
      <c r="L94" s="30">
        <f t="shared" si="9"/>
        <v>10500</v>
      </c>
      <c r="M94" s="30">
        <v>3947.94</v>
      </c>
      <c r="N94" s="30">
        <f t="shared" si="3"/>
        <v>6552.0599999999995</v>
      </c>
      <c r="O94" s="40">
        <f t="shared" si="10"/>
        <v>1.6786095585094949E-3</v>
      </c>
    </row>
    <row r="95" spans="1:15" ht="15.95" customHeight="1" x14ac:dyDescent="0.2">
      <c r="A95" s="43" t="s">
        <v>136</v>
      </c>
      <c r="B95" s="31" t="s">
        <v>205</v>
      </c>
      <c r="C95" s="30">
        <v>2000</v>
      </c>
      <c r="D95" s="30"/>
      <c r="E95" s="30"/>
      <c r="F95" s="46">
        <v>6000</v>
      </c>
      <c r="G95" s="46"/>
      <c r="H95" s="30"/>
      <c r="I95" s="30"/>
      <c r="J95" s="46"/>
      <c r="K95" s="46"/>
      <c r="L95" s="30">
        <f t="shared" si="9"/>
        <v>8000</v>
      </c>
      <c r="M95" s="30">
        <v>2228.87</v>
      </c>
      <c r="N95" s="30">
        <f t="shared" si="3"/>
        <v>5771.13</v>
      </c>
      <c r="O95" s="40">
        <f t="shared" si="10"/>
        <v>9.4768473854087393E-4</v>
      </c>
    </row>
    <row r="96" spans="1:15" ht="15.95" customHeight="1" x14ac:dyDescent="0.2">
      <c r="A96" s="43" t="s">
        <v>137</v>
      </c>
      <c r="B96" s="31" t="s">
        <v>71</v>
      </c>
      <c r="C96" s="30">
        <v>17500</v>
      </c>
      <c r="D96" s="30"/>
      <c r="E96" s="30"/>
      <c r="F96" s="46"/>
      <c r="G96" s="46"/>
      <c r="H96" s="30"/>
      <c r="I96" s="30"/>
      <c r="J96" s="46"/>
      <c r="K96" s="46"/>
      <c r="L96" s="30">
        <f t="shared" si="9"/>
        <v>17500</v>
      </c>
      <c r="M96" s="30">
        <v>5380.23</v>
      </c>
      <c r="N96" s="30">
        <f t="shared" si="3"/>
        <v>12119.77</v>
      </c>
      <c r="O96" s="40">
        <f t="shared" si="10"/>
        <v>2.2875994835229361E-3</v>
      </c>
    </row>
    <row r="97" spans="1:15" ht="15.95" customHeight="1" x14ac:dyDescent="0.2">
      <c r="A97" s="43" t="s">
        <v>138</v>
      </c>
      <c r="B97" s="31" t="s">
        <v>206</v>
      </c>
      <c r="C97" s="30">
        <v>3000</v>
      </c>
      <c r="D97" s="30"/>
      <c r="E97" s="30"/>
      <c r="F97" s="46"/>
      <c r="G97" s="46"/>
      <c r="H97" s="30"/>
      <c r="I97" s="30"/>
      <c r="J97" s="46"/>
      <c r="K97" s="46"/>
      <c r="L97" s="30">
        <f t="shared" si="9"/>
        <v>3000</v>
      </c>
      <c r="M97" s="30">
        <v>1748.9</v>
      </c>
      <c r="N97" s="30">
        <f t="shared" si="3"/>
        <v>1251.0999999999999</v>
      </c>
      <c r="O97" s="40">
        <f t="shared" si="10"/>
        <v>7.4360812395255654E-4</v>
      </c>
    </row>
    <row r="98" spans="1:15" ht="15.95" customHeight="1" x14ac:dyDescent="0.2">
      <c r="A98" s="43" t="s">
        <v>139</v>
      </c>
      <c r="B98" s="31" t="s">
        <v>207</v>
      </c>
      <c r="C98" s="30">
        <v>1500</v>
      </c>
      <c r="D98" s="30"/>
      <c r="E98" s="30"/>
      <c r="F98" s="46">
        <v>2000</v>
      </c>
      <c r="G98" s="46"/>
      <c r="H98" s="30"/>
      <c r="I98" s="30"/>
      <c r="J98" s="46"/>
      <c r="K98" s="46"/>
      <c r="L98" s="30">
        <f t="shared" si="9"/>
        <v>3500</v>
      </c>
      <c r="M98" s="30">
        <v>169</v>
      </c>
      <c r="N98" s="30">
        <f t="shared" ref="N98:N135" si="11">L98-M98</f>
        <v>3331</v>
      </c>
      <c r="O98" s="40">
        <f t="shared" si="10"/>
        <v>7.1856465748746087E-5</v>
      </c>
    </row>
    <row r="99" spans="1:15" ht="15.95" customHeight="1" x14ac:dyDescent="0.2">
      <c r="A99" s="43" t="s">
        <v>140</v>
      </c>
      <c r="B99" s="31" t="s">
        <v>72</v>
      </c>
      <c r="C99" s="30">
        <v>210345</v>
      </c>
      <c r="D99" s="30"/>
      <c r="E99" s="30"/>
      <c r="F99" s="46"/>
      <c r="G99" s="46"/>
      <c r="H99" s="30"/>
      <c r="I99" s="30"/>
      <c r="J99" s="46"/>
      <c r="K99" s="46"/>
      <c r="L99" s="30">
        <f t="shared" si="9"/>
        <v>210345</v>
      </c>
      <c r="M99" s="30">
        <v>89968.29</v>
      </c>
      <c r="N99" s="30">
        <f t="shared" si="11"/>
        <v>120376.71</v>
      </c>
      <c r="O99" s="40">
        <f t="shared" si="10"/>
        <v>3.8253274253599145E-2</v>
      </c>
    </row>
    <row r="100" spans="1:15" ht="15.95" hidden="1" customHeight="1" x14ac:dyDescent="0.2">
      <c r="A100" s="43">
        <v>272</v>
      </c>
      <c r="B100" s="31" t="s">
        <v>208</v>
      </c>
      <c r="C100" s="30"/>
      <c r="D100" s="30"/>
      <c r="E100" s="30"/>
      <c r="F100" s="46"/>
      <c r="G100" s="46"/>
      <c r="H100" s="30"/>
      <c r="I100" s="30"/>
      <c r="J100" s="46"/>
      <c r="K100" s="46"/>
      <c r="L100" s="30">
        <f t="shared" si="9"/>
        <v>0</v>
      </c>
      <c r="M100" s="30">
        <v>0</v>
      </c>
      <c r="N100" s="30">
        <f t="shared" si="11"/>
        <v>0</v>
      </c>
      <c r="O100" s="40">
        <f t="shared" si="10"/>
        <v>0</v>
      </c>
    </row>
    <row r="101" spans="1:15" ht="15.95" hidden="1" customHeight="1" x14ac:dyDescent="0.2">
      <c r="A101" s="43" t="s">
        <v>141</v>
      </c>
      <c r="B101" s="31" t="s">
        <v>209</v>
      </c>
      <c r="C101" s="30"/>
      <c r="D101" s="30"/>
      <c r="E101" s="30"/>
      <c r="F101" s="46"/>
      <c r="G101" s="46"/>
      <c r="H101" s="30"/>
      <c r="I101" s="30"/>
      <c r="J101" s="46"/>
      <c r="K101" s="46"/>
      <c r="L101" s="30">
        <f t="shared" si="9"/>
        <v>0</v>
      </c>
      <c r="M101" s="30">
        <v>0</v>
      </c>
      <c r="N101" s="30">
        <f t="shared" si="11"/>
        <v>0</v>
      </c>
      <c r="O101" s="40">
        <f t="shared" si="10"/>
        <v>0</v>
      </c>
    </row>
    <row r="102" spans="1:15" ht="15.95" customHeight="1" x14ac:dyDescent="0.2">
      <c r="A102" s="43">
        <v>274</v>
      </c>
      <c r="B102" s="31" t="s">
        <v>73</v>
      </c>
      <c r="C102" s="30">
        <v>1500</v>
      </c>
      <c r="D102" s="30"/>
      <c r="E102" s="30"/>
      <c r="F102" s="46"/>
      <c r="G102" s="46"/>
      <c r="H102" s="30"/>
      <c r="I102" s="30"/>
      <c r="J102" s="46"/>
      <c r="K102" s="46"/>
      <c r="L102" s="30">
        <f t="shared" si="9"/>
        <v>1500</v>
      </c>
      <c r="M102" s="30">
        <v>237</v>
      </c>
      <c r="N102" s="30">
        <f t="shared" si="11"/>
        <v>1263</v>
      </c>
      <c r="O102" s="40">
        <f t="shared" si="10"/>
        <v>1.0076912652338949E-4</v>
      </c>
    </row>
    <row r="103" spans="1:15" ht="15.95" hidden="1" customHeight="1" x14ac:dyDescent="0.2">
      <c r="A103" s="43">
        <v>275</v>
      </c>
      <c r="B103" s="31" t="s">
        <v>210</v>
      </c>
      <c r="C103" s="30"/>
      <c r="D103" s="30"/>
      <c r="E103" s="30"/>
      <c r="F103" s="46"/>
      <c r="G103" s="46"/>
      <c r="H103" s="30"/>
      <c r="I103" s="30"/>
      <c r="J103" s="46"/>
      <c r="K103" s="46"/>
      <c r="L103" s="30">
        <f t="shared" si="9"/>
        <v>0</v>
      </c>
      <c r="M103" s="30">
        <v>0</v>
      </c>
      <c r="N103" s="30">
        <f t="shared" si="11"/>
        <v>0</v>
      </c>
      <c r="O103" s="40">
        <f t="shared" si="10"/>
        <v>0</v>
      </c>
    </row>
    <row r="104" spans="1:15" ht="15.95" customHeight="1" x14ac:dyDescent="0.2">
      <c r="A104" s="43">
        <v>279</v>
      </c>
      <c r="B104" s="31" t="s">
        <v>211</v>
      </c>
      <c r="C104" s="30">
        <v>750</v>
      </c>
      <c r="D104" s="30"/>
      <c r="E104" s="30"/>
      <c r="F104" s="46"/>
      <c r="G104" s="46"/>
      <c r="H104" s="30"/>
      <c r="I104" s="30"/>
      <c r="J104" s="46"/>
      <c r="K104" s="46"/>
      <c r="L104" s="30">
        <f t="shared" si="9"/>
        <v>750</v>
      </c>
      <c r="M104" s="30">
        <v>0</v>
      </c>
      <c r="N104" s="30">
        <f t="shared" si="11"/>
        <v>750</v>
      </c>
      <c r="O104" s="40">
        <f t="shared" si="10"/>
        <v>0</v>
      </c>
    </row>
    <row r="105" spans="1:15" ht="15.95" hidden="1" customHeight="1" x14ac:dyDescent="0.2">
      <c r="A105" s="43">
        <v>281</v>
      </c>
      <c r="B105" s="31" t="s">
        <v>212</v>
      </c>
      <c r="C105" s="30"/>
      <c r="D105" s="30"/>
      <c r="E105" s="30"/>
      <c r="F105" s="46"/>
      <c r="G105" s="46"/>
      <c r="H105" s="30"/>
      <c r="I105" s="30"/>
      <c r="J105" s="46"/>
      <c r="K105" s="46"/>
      <c r="L105" s="30">
        <f t="shared" si="9"/>
        <v>0</v>
      </c>
      <c r="M105" s="30">
        <v>0</v>
      </c>
      <c r="N105" s="30">
        <f t="shared" si="11"/>
        <v>0</v>
      </c>
      <c r="O105" s="40">
        <f t="shared" si="10"/>
        <v>0</v>
      </c>
    </row>
    <row r="106" spans="1:15" ht="15.95" customHeight="1" x14ac:dyDescent="0.2">
      <c r="A106" s="43" t="s">
        <v>142</v>
      </c>
      <c r="B106" s="31" t="s">
        <v>213</v>
      </c>
      <c r="C106" s="30">
        <v>1800</v>
      </c>
      <c r="D106" s="30"/>
      <c r="E106" s="30"/>
      <c r="F106" s="46"/>
      <c r="G106" s="46"/>
      <c r="H106" s="30"/>
      <c r="I106" s="30"/>
      <c r="J106" s="46"/>
      <c r="K106" s="46"/>
      <c r="L106" s="30">
        <f t="shared" si="9"/>
        <v>1800</v>
      </c>
      <c r="M106" s="30">
        <v>216.9</v>
      </c>
      <c r="N106" s="30">
        <f t="shared" si="11"/>
        <v>1583.1</v>
      </c>
      <c r="O106" s="40">
        <f t="shared" si="10"/>
        <v>9.2222884147355195E-5</v>
      </c>
    </row>
    <row r="107" spans="1:15" ht="15.95" customHeight="1" x14ac:dyDescent="0.2">
      <c r="A107" s="43" t="s">
        <v>143</v>
      </c>
      <c r="B107" s="31" t="s">
        <v>74</v>
      </c>
      <c r="C107" s="30">
        <v>8800</v>
      </c>
      <c r="D107" s="30">
        <v>15000</v>
      </c>
      <c r="E107" s="30"/>
      <c r="F107" s="46">
        <v>10000</v>
      </c>
      <c r="G107" s="46"/>
      <c r="H107" s="30"/>
      <c r="I107" s="30"/>
      <c r="J107" s="46"/>
      <c r="K107" s="46"/>
      <c r="L107" s="30">
        <f t="shared" si="9"/>
        <v>33800</v>
      </c>
      <c r="M107" s="30">
        <v>2189.8200000000002</v>
      </c>
      <c r="N107" s="30">
        <f t="shared" si="11"/>
        <v>31610.18</v>
      </c>
      <c r="O107" s="40">
        <f t="shared" si="10"/>
        <v>9.3108121790484721E-4</v>
      </c>
    </row>
    <row r="108" spans="1:15" ht="15.95" customHeight="1" x14ac:dyDescent="0.2">
      <c r="A108" s="43" t="s">
        <v>144</v>
      </c>
      <c r="B108" s="31" t="s">
        <v>75</v>
      </c>
      <c r="C108" s="30">
        <v>800821.67999999993</v>
      </c>
      <c r="D108" s="30"/>
      <c r="E108" s="30"/>
      <c r="F108" s="46">
        <v>106800</v>
      </c>
      <c r="G108" s="46">
        <v>7621</v>
      </c>
      <c r="H108" s="30"/>
      <c r="I108" s="30"/>
      <c r="J108" s="46"/>
      <c r="K108" s="46"/>
      <c r="L108" s="30">
        <f t="shared" si="9"/>
        <v>900000.67999999993</v>
      </c>
      <c r="M108" s="30">
        <v>0</v>
      </c>
      <c r="N108" s="30">
        <f t="shared" si="11"/>
        <v>900000.67999999993</v>
      </c>
      <c r="O108" s="40">
        <f t="shared" si="10"/>
        <v>0</v>
      </c>
    </row>
    <row r="109" spans="1:15" ht="15.95" customHeight="1" x14ac:dyDescent="0.2">
      <c r="A109" s="43">
        <v>286</v>
      </c>
      <c r="B109" s="31" t="s">
        <v>214</v>
      </c>
      <c r="C109" s="30">
        <v>1500</v>
      </c>
      <c r="D109" s="30"/>
      <c r="E109" s="30"/>
      <c r="F109" s="46">
        <v>3000</v>
      </c>
      <c r="G109" s="46"/>
      <c r="H109" s="30"/>
      <c r="I109" s="30"/>
      <c r="J109" s="46"/>
      <c r="K109" s="46"/>
      <c r="L109" s="30">
        <f t="shared" si="9"/>
        <v>4500</v>
      </c>
      <c r="M109" s="30">
        <v>132.80000000000001</v>
      </c>
      <c r="N109" s="30">
        <f t="shared" si="11"/>
        <v>4367.2</v>
      </c>
      <c r="O109" s="40">
        <f t="shared" si="10"/>
        <v>5.6464725748127109E-5</v>
      </c>
    </row>
    <row r="110" spans="1:15" ht="15.95" hidden="1" customHeight="1" x14ac:dyDescent="0.2">
      <c r="A110" s="43">
        <v>289</v>
      </c>
      <c r="B110" s="31" t="s">
        <v>215</v>
      </c>
      <c r="C110" s="30"/>
      <c r="D110" s="30"/>
      <c r="E110" s="30"/>
      <c r="F110" s="46"/>
      <c r="G110" s="46"/>
      <c r="H110" s="30"/>
      <c r="I110" s="30"/>
      <c r="J110" s="46"/>
      <c r="K110" s="46"/>
      <c r="L110" s="30">
        <f t="shared" si="9"/>
        <v>0</v>
      </c>
      <c r="M110" s="30">
        <v>0</v>
      </c>
      <c r="N110" s="30">
        <f t="shared" si="11"/>
        <v>0</v>
      </c>
      <c r="O110" s="40">
        <f t="shared" si="10"/>
        <v>0</v>
      </c>
    </row>
    <row r="111" spans="1:15" ht="15.95" customHeight="1" x14ac:dyDescent="0.2">
      <c r="A111" s="43" t="s">
        <v>145</v>
      </c>
      <c r="B111" s="31" t="s">
        <v>76</v>
      </c>
      <c r="C111" s="30">
        <v>6600</v>
      </c>
      <c r="D111" s="30"/>
      <c r="E111" s="30"/>
      <c r="F111" s="46">
        <v>5000</v>
      </c>
      <c r="G111" s="46"/>
      <c r="H111" s="30"/>
      <c r="I111" s="30"/>
      <c r="J111" s="46"/>
      <c r="K111" s="46"/>
      <c r="L111" s="30">
        <f t="shared" si="9"/>
        <v>11600</v>
      </c>
      <c r="M111" s="30">
        <v>3410.36</v>
      </c>
      <c r="N111" s="30">
        <f t="shared" si="11"/>
        <v>8189.6399999999994</v>
      </c>
      <c r="O111" s="40">
        <f t="shared" si="10"/>
        <v>1.4500379676384244E-3</v>
      </c>
    </row>
    <row r="112" spans="1:15" ht="15.95" customHeight="1" x14ac:dyDescent="0.2">
      <c r="A112" s="43" t="s">
        <v>146</v>
      </c>
      <c r="B112" s="31" t="s">
        <v>216</v>
      </c>
      <c r="C112" s="30">
        <v>2000</v>
      </c>
      <c r="D112" s="30"/>
      <c r="E112" s="30"/>
      <c r="F112" s="46">
        <v>6000</v>
      </c>
      <c r="G112" s="46"/>
      <c r="H112" s="30"/>
      <c r="I112" s="30"/>
      <c r="J112" s="46"/>
      <c r="K112" s="46"/>
      <c r="L112" s="30">
        <f t="shared" si="9"/>
        <v>8000</v>
      </c>
      <c r="M112" s="30">
        <v>2725.28</v>
      </c>
      <c r="N112" s="30">
        <f t="shared" si="11"/>
        <v>5274.7199999999993</v>
      </c>
      <c r="O112" s="40">
        <f t="shared" si="10"/>
        <v>1.1587514140576495E-3</v>
      </c>
    </row>
    <row r="113" spans="1:15" ht="15.95" customHeight="1" x14ac:dyDescent="0.2">
      <c r="A113" s="43" t="s">
        <v>147</v>
      </c>
      <c r="B113" s="31" t="s">
        <v>77</v>
      </c>
      <c r="C113" s="30">
        <v>115251.9</v>
      </c>
      <c r="D113" s="30">
        <f>4500+21000+10000</f>
        <v>35500</v>
      </c>
      <c r="E113" s="30"/>
      <c r="F113" s="46"/>
      <c r="G113" s="46">
        <v>3150</v>
      </c>
      <c r="H113" s="30"/>
      <c r="I113" s="30"/>
      <c r="J113" s="46"/>
      <c r="K113" s="46"/>
      <c r="L113" s="30">
        <f t="shared" si="9"/>
        <v>147601.9</v>
      </c>
      <c r="M113" s="30">
        <v>83978.79</v>
      </c>
      <c r="N113" s="30">
        <f t="shared" si="11"/>
        <v>63623.11</v>
      </c>
      <c r="O113" s="40">
        <f t="shared" si="10"/>
        <v>3.5706621581397278E-2</v>
      </c>
    </row>
    <row r="114" spans="1:15" ht="15.95" customHeight="1" x14ac:dyDescent="0.2">
      <c r="A114" s="43" t="s">
        <v>148</v>
      </c>
      <c r="B114" s="31" t="s">
        <v>78</v>
      </c>
      <c r="C114" s="30">
        <v>2000</v>
      </c>
      <c r="D114" s="30"/>
      <c r="E114" s="30"/>
      <c r="F114" s="46">
        <v>3000</v>
      </c>
      <c r="G114" s="46"/>
      <c r="H114" s="30"/>
      <c r="I114" s="30"/>
      <c r="J114" s="46"/>
      <c r="K114" s="46"/>
      <c r="L114" s="30">
        <f t="shared" si="9"/>
        <v>5000</v>
      </c>
      <c r="M114" s="30">
        <v>0</v>
      </c>
      <c r="N114" s="30">
        <f t="shared" si="11"/>
        <v>5000</v>
      </c>
      <c r="O114" s="40">
        <f t="shared" si="10"/>
        <v>0</v>
      </c>
    </row>
    <row r="115" spans="1:15" ht="15.95" customHeight="1" x14ac:dyDescent="0.2">
      <c r="A115" s="43" t="s">
        <v>149</v>
      </c>
      <c r="B115" s="31" t="s">
        <v>217</v>
      </c>
      <c r="C115" s="30">
        <v>9500</v>
      </c>
      <c r="D115" s="30">
        <v>20000</v>
      </c>
      <c r="E115" s="30"/>
      <c r="F115" s="46">
        <v>5000</v>
      </c>
      <c r="G115" s="46"/>
      <c r="H115" s="30"/>
      <c r="I115" s="30"/>
      <c r="J115" s="46"/>
      <c r="K115" s="46"/>
      <c r="L115" s="30">
        <f t="shared" si="9"/>
        <v>34500</v>
      </c>
      <c r="M115" s="30">
        <v>286.99</v>
      </c>
      <c r="N115" s="30">
        <f t="shared" si="11"/>
        <v>34213.01</v>
      </c>
      <c r="O115" s="40">
        <f t="shared" si="10"/>
        <v>1.2202418405463102E-4</v>
      </c>
    </row>
    <row r="116" spans="1:15" ht="15.95" customHeight="1" x14ac:dyDescent="0.2">
      <c r="A116" s="43" t="s">
        <v>150</v>
      </c>
      <c r="B116" s="31" t="s">
        <v>79</v>
      </c>
      <c r="C116" s="30">
        <v>101000</v>
      </c>
      <c r="D116" s="30"/>
      <c r="E116" s="30"/>
      <c r="F116" s="46">
        <v>358296.72</v>
      </c>
      <c r="G116" s="46"/>
      <c r="H116" s="30"/>
      <c r="I116" s="30">
        <v>136000</v>
      </c>
      <c r="J116" s="46"/>
      <c r="K116" s="46"/>
      <c r="L116" s="30">
        <f t="shared" si="9"/>
        <v>323296.71999999997</v>
      </c>
      <c r="M116" s="30">
        <v>5316.97</v>
      </c>
      <c r="N116" s="30">
        <f t="shared" si="11"/>
        <v>317979.75</v>
      </c>
      <c r="O116" s="40">
        <f t="shared" si="10"/>
        <v>2.2607022052787604E-3</v>
      </c>
    </row>
    <row r="117" spans="1:15" ht="15.95" customHeight="1" x14ac:dyDescent="0.2">
      <c r="A117" s="43" t="s">
        <v>151</v>
      </c>
      <c r="B117" s="31" t="s">
        <v>80</v>
      </c>
      <c r="C117" s="30">
        <v>11500</v>
      </c>
      <c r="D117" s="30"/>
      <c r="E117" s="30"/>
      <c r="F117" s="46">
        <v>25000</v>
      </c>
      <c r="G117" s="46"/>
      <c r="H117" s="30"/>
      <c r="I117" s="30"/>
      <c r="J117" s="46"/>
      <c r="K117" s="46"/>
      <c r="L117" s="30">
        <f t="shared" si="9"/>
        <v>36500</v>
      </c>
      <c r="M117" s="30">
        <v>5653.12</v>
      </c>
      <c r="N117" s="30">
        <f t="shared" si="11"/>
        <v>30846.880000000001</v>
      </c>
      <c r="O117" s="40">
        <f t="shared" si="10"/>
        <v>2.4036285423287072E-3</v>
      </c>
    </row>
    <row r="118" spans="1:15" ht="15.95" customHeight="1" x14ac:dyDescent="0.2">
      <c r="A118" s="43"/>
      <c r="B118" s="31"/>
      <c r="C118" s="30"/>
      <c r="D118" s="30"/>
      <c r="E118" s="30"/>
      <c r="F118" s="46"/>
      <c r="G118" s="46"/>
      <c r="H118" s="30"/>
      <c r="I118" s="30"/>
      <c r="J118" s="46"/>
      <c r="K118" s="46"/>
      <c r="L118" s="30"/>
      <c r="M118" s="30"/>
      <c r="N118" s="30"/>
      <c r="O118" s="40"/>
    </row>
    <row r="119" spans="1:15" ht="15.95" customHeight="1" x14ac:dyDescent="0.2">
      <c r="A119" s="43"/>
      <c r="B119" s="31"/>
      <c r="C119" s="30"/>
      <c r="D119" s="30"/>
      <c r="E119" s="30"/>
      <c r="F119" s="46"/>
      <c r="G119" s="46"/>
      <c r="H119" s="30"/>
      <c r="I119" s="30"/>
      <c r="J119" s="46"/>
      <c r="K119" s="46"/>
      <c r="L119" s="30"/>
      <c r="M119" s="30"/>
      <c r="N119" s="30"/>
      <c r="O119" s="40"/>
    </row>
    <row r="120" spans="1:15" ht="15.95" customHeight="1" x14ac:dyDescent="0.2">
      <c r="A120" s="43"/>
      <c r="B120" s="31"/>
      <c r="C120" s="30"/>
      <c r="D120" s="30"/>
      <c r="E120" s="30"/>
      <c r="F120" s="46"/>
      <c r="G120" s="46"/>
      <c r="H120" s="30"/>
      <c r="I120" s="30"/>
      <c r="J120" s="46"/>
      <c r="K120" s="46"/>
      <c r="L120" s="30"/>
      <c r="M120" s="30"/>
      <c r="N120" s="30"/>
      <c r="O120" s="40"/>
    </row>
    <row r="121" spans="1:15" ht="15.95" customHeight="1" x14ac:dyDescent="0.25">
      <c r="A121" s="41">
        <v>3</v>
      </c>
      <c r="B121" s="42" t="s">
        <v>81</v>
      </c>
      <c r="C121" s="28"/>
      <c r="D121" s="30"/>
      <c r="E121" s="30"/>
      <c r="F121" s="46"/>
      <c r="G121" s="46"/>
      <c r="H121" s="30"/>
      <c r="I121" s="30"/>
      <c r="J121" s="46"/>
      <c r="K121" s="46"/>
      <c r="L121" s="30"/>
      <c r="M121" s="30"/>
      <c r="N121" s="30"/>
      <c r="O121" s="40"/>
    </row>
    <row r="122" spans="1:15" ht="15.95" customHeight="1" x14ac:dyDescent="0.2">
      <c r="A122" s="44" t="s">
        <v>218</v>
      </c>
      <c r="B122" s="45" t="s">
        <v>219</v>
      </c>
      <c r="C122" s="46">
        <v>10000</v>
      </c>
      <c r="D122" s="30"/>
      <c r="E122" s="30"/>
      <c r="F122" s="46">
        <f>20000+10000</f>
        <v>30000</v>
      </c>
      <c r="G122" s="46"/>
      <c r="H122" s="30"/>
      <c r="I122" s="30"/>
      <c r="J122" s="46"/>
      <c r="K122" s="46"/>
      <c r="L122" s="30">
        <f t="shared" ref="L122:L135" si="12">C122+D122-E122+F122-G122+J122-K122</f>
        <v>40000</v>
      </c>
      <c r="M122" s="30">
        <v>1299</v>
      </c>
      <c r="N122" s="30">
        <f t="shared" si="11"/>
        <v>38701</v>
      </c>
      <c r="O122" s="40">
        <f>M122/$M$136</f>
        <v>5.5231685803326137E-4</v>
      </c>
    </row>
    <row r="123" spans="1:15" ht="15.95" hidden="1" customHeight="1" x14ac:dyDescent="0.2">
      <c r="A123" s="44" t="s">
        <v>82</v>
      </c>
      <c r="B123" s="45" t="s">
        <v>220</v>
      </c>
      <c r="C123" s="46">
        <v>0</v>
      </c>
      <c r="D123" s="30"/>
      <c r="E123" s="30"/>
      <c r="F123" s="46"/>
      <c r="G123" s="46"/>
      <c r="H123" s="30"/>
      <c r="I123" s="30"/>
      <c r="J123" s="46"/>
      <c r="K123" s="46"/>
      <c r="L123" s="30">
        <f t="shared" si="12"/>
        <v>0</v>
      </c>
      <c r="M123" s="30">
        <v>0</v>
      </c>
      <c r="N123" s="30">
        <f t="shared" si="11"/>
        <v>0</v>
      </c>
      <c r="O123" s="40">
        <f>M123/$M$136</f>
        <v>0</v>
      </c>
    </row>
    <row r="124" spans="1:15" ht="15.95" customHeight="1" x14ac:dyDescent="0.2">
      <c r="A124" s="44" t="s">
        <v>221</v>
      </c>
      <c r="B124" s="45" t="s">
        <v>222</v>
      </c>
      <c r="C124" s="46">
        <v>54035</v>
      </c>
      <c r="D124" s="30"/>
      <c r="E124" s="30"/>
      <c r="F124" s="46">
        <v>120000</v>
      </c>
      <c r="G124" s="46"/>
      <c r="H124" s="30"/>
      <c r="I124" s="30"/>
      <c r="J124" s="46"/>
      <c r="K124" s="46"/>
      <c r="L124" s="30">
        <f t="shared" si="12"/>
        <v>174035</v>
      </c>
      <c r="M124" s="30">
        <f>35472.21</f>
        <v>35472.21</v>
      </c>
      <c r="N124" s="30">
        <f t="shared" si="11"/>
        <v>138562.79</v>
      </c>
      <c r="O124" s="40">
        <f>M124/$M$136</f>
        <v>1.5082293744954607E-2</v>
      </c>
    </row>
    <row r="125" spans="1:15" ht="15.95" customHeight="1" x14ac:dyDescent="0.2">
      <c r="A125" s="44" t="s">
        <v>223</v>
      </c>
      <c r="B125" s="45" t="s">
        <v>224</v>
      </c>
      <c r="C125" s="46">
        <v>1500</v>
      </c>
      <c r="D125" s="30"/>
      <c r="E125" s="30"/>
      <c r="F125" s="46"/>
      <c r="G125" s="46"/>
      <c r="H125" s="30"/>
      <c r="I125" s="30"/>
      <c r="J125" s="46"/>
      <c r="K125" s="46"/>
      <c r="L125" s="30">
        <f t="shared" si="12"/>
        <v>1500</v>
      </c>
      <c r="M125" s="30">
        <v>0</v>
      </c>
      <c r="N125" s="30">
        <f t="shared" si="11"/>
        <v>1500</v>
      </c>
      <c r="O125" s="40">
        <f>M125/$M$136</f>
        <v>0</v>
      </c>
    </row>
    <row r="126" spans="1:15" ht="15.95" customHeight="1" x14ac:dyDescent="0.2">
      <c r="A126" s="44">
        <v>328</v>
      </c>
      <c r="B126" s="45" t="s">
        <v>254</v>
      </c>
      <c r="C126" s="46">
        <v>0</v>
      </c>
      <c r="D126" s="30">
        <v>3000</v>
      </c>
      <c r="E126" s="30"/>
      <c r="F126" s="46"/>
      <c r="G126" s="46"/>
      <c r="H126" s="30"/>
      <c r="I126" s="30"/>
      <c r="J126" s="46"/>
      <c r="K126" s="46"/>
      <c r="L126" s="30">
        <f t="shared" si="12"/>
        <v>3000</v>
      </c>
      <c r="M126" s="30"/>
      <c r="N126" s="30">
        <f t="shared" si="11"/>
        <v>3000</v>
      </c>
      <c r="O126" s="40">
        <f>+M126/M136</f>
        <v>0</v>
      </c>
    </row>
    <row r="127" spans="1:15" ht="15.95" customHeight="1" x14ac:dyDescent="0.2">
      <c r="A127" s="44" t="s">
        <v>225</v>
      </c>
      <c r="B127" s="45" t="s">
        <v>226</v>
      </c>
      <c r="C127" s="46">
        <v>14300</v>
      </c>
      <c r="D127" s="30">
        <f>3000+16000</f>
        <v>19000</v>
      </c>
      <c r="E127" s="30"/>
      <c r="F127" s="46">
        <v>42000</v>
      </c>
      <c r="G127" s="46"/>
      <c r="H127" s="30"/>
      <c r="I127" s="30"/>
      <c r="J127" s="46"/>
      <c r="K127" s="46"/>
      <c r="L127" s="30">
        <f t="shared" si="12"/>
        <v>75300</v>
      </c>
      <c r="M127" s="30">
        <v>8536.8799999999992</v>
      </c>
      <c r="N127" s="30">
        <f t="shared" si="11"/>
        <v>66763.12</v>
      </c>
      <c r="O127" s="40">
        <f>M127/$M$136</f>
        <v>3.6297634634387898E-3</v>
      </c>
    </row>
    <row r="128" spans="1:15" ht="15.95" hidden="1" customHeight="1" x14ac:dyDescent="0.2">
      <c r="A128" s="44" t="s">
        <v>227</v>
      </c>
      <c r="B128" s="45" t="s">
        <v>228</v>
      </c>
      <c r="C128" s="46">
        <v>0</v>
      </c>
      <c r="D128" s="30"/>
      <c r="E128" s="30"/>
      <c r="F128" s="46"/>
      <c r="G128" s="46"/>
      <c r="H128" s="30"/>
      <c r="I128" s="30"/>
      <c r="J128" s="46"/>
      <c r="K128" s="46"/>
      <c r="L128" s="30">
        <f t="shared" si="12"/>
        <v>0</v>
      </c>
      <c r="M128" s="30">
        <v>0</v>
      </c>
      <c r="N128" s="30">
        <f t="shared" si="11"/>
        <v>0</v>
      </c>
      <c r="O128" s="40">
        <f>M128/$M$136</f>
        <v>0</v>
      </c>
    </row>
    <row r="129" spans="1:15" ht="15.95" customHeight="1" x14ac:dyDescent="0.2">
      <c r="A129" s="44"/>
      <c r="B129" s="45"/>
      <c r="C129" s="46"/>
      <c r="D129" s="30"/>
      <c r="E129" s="30"/>
      <c r="F129" s="46"/>
      <c r="G129" s="46"/>
      <c r="H129" s="30"/>
      <c r="I129" s="30"/>
      <c r="J129" s="46"/>
      <c r="K129" s="46"/>
      <c r="L129" s="30"/>
      <c r="M129" s="30"/>
      <c r="N129" s="30"/>
      <c r="O129" s="40"/>
    </row>
    <row r="130" spans="1:15" ht="15.95" customHeight="1" x14ac:dyDescent="0.2">
      <c r="A130" s="43"/>
      <c r="B130" s="31"/>
      <c r="C130" s="30"/>
      <c r="D130" s="30"/>
      <c r="E130" s="30"/>
      <c r="F130" s="46"/>
      <c r="G130" s="46"/>
      <c r="H130" s="30"/>
      <c r="I130" s="30"/>
      <c r="J130" s="46"/>
      <c r="K130" s="46"/>
      <c r="L130" s="30"/>
      <c r="M130" s="30"/>
      <c r="N130" s="30"/>
      <c r="O130" s="40"/>
    </row>
    <row r="131" spans="1:15" ht="15.95" customHeight="1" x14ac:dyDescent="0.25">
      <c r="A131" s="41">
        <v>4</v>
      </c>
      <c r="B131" s="42" t="s">
        <v>83</v>
      </c>
      <c r="C131" s="28"/>
      <c r="D131" s="30"/>
      <c r="E131" s="30"/>
      <c r="F131" s="46"/>
      <c r="G131" s="46"/>
      <c r="H131" s="30"/>
      <c r="I131" s="30"/>
      <c r="J131" s="46"/>
      <c r="K131" s="46"/>
      <c r="L131" s="30"/>
      <c r="M131" s="30"/>
      <c r="N131" s="30"/>
      <c r="O131" s="40"/>
    </row>
    <row r="132" spans="1:15" ht="15.95" customHeight="1" x14ac:dyDescent="0.2">
      <c r="A132" s="43" t="s">
        <v>229</v>
      </c>
      <c r="B132" s="31" t="s">
        <v>84</v>
      </c>
      <c r="C132" s="30">
        <v>140900</v>
      </c>
      <c r="D132" s="30"/>
      <c r="E132" s="30"/>
      <c r="F132" s="46">
        <v>180620.2</v>
      </c>
      <c r="G132" s="46"/>
      <c r="H132" s="30"/>
      <c r="I132" s="30"/>
      <c r="J132" s="46"/>
      <c r="K132" s="46"/>
      <c r="L132" s="30">
        <f t="shared" si="12"/>
        <v>321520.2</v>
      </c>
      <c r="M132" s="30">
        <v>91719.78</v>
      </c>
      <c r="N132" s="30">
        <f t="shared" si="11"/>
        <v>229800.42</v>
      </c>
      <c r="O132" s="40">
        <f>M132/$M$136</f>
        <v>3.8997983609778263E-2</v>
      </c>
    </row>
    <row r="133" spans="1:15" ht="15.95" customHeight="1" x14ac:dyDescent="0.2">
      <c r="A133" s="43" t="s">
        <v>230</v>
      </c>
      <c r="B133" s="31" t="s">
        <v>231</v>
      </c>
      <c r="C133" s="30">
        <v>7170</v>
      </c>
      <c r="D133" s="30"/>
      <c r="E133" s="30"/>
      <c r="F133" s="30"/>
      <c r="G133" s="30"/>
      <c r="H133" s="30"/>
      <c r="I133" s="30"/>
      <c r="J133" s="46"/>
      <c r="K133" s="46"/>
      <c r="L133" s="30">
        <f t="shared" si="12"/>
        <v>7170</v>
      </c>
      <c r="M133" s="30">
        <v>3718.87</v>
      </c>
      <c r="N133" s="30">
        <f t="shared" si="11"/>
        <v>3451.13</v>
      </c>
      <c r="O133" s="40">
        <f>M133/$M$136</f>
        <v>1.5812121584558544E-3</v>
      </c>
    </row>
    <row r="134" spans="1:15" ht="15.95" customHeight="1" x14ac:dyDescent="0.2">
      <c r="A134" s="43" t="s">
        <v>232</v>
      </c>
      <c r="B134" s="31" t="s">
        <v>233</v>
      </c>
      <c r="C134" s="30">
        <v>163700</v>
      </c>
      <c r="D134" s="30"/>
      <c r="E134" s="30"/>
      <c r="F134" s="30"/>
      <c r="G134" s="30"/>
      <c r="H134" s="30"/>
      <c r="I134" s="30"/>
      <c r="J134" s="46"/>
      <c r="K134" s="46"/>
      <c r="L134" s="30">
        <f t="shared" si="12"/>
        <v>163700</v>
      </c>
      <c r="M134" s="30">
        <v>116813</v>
      </c>
      <c r="N134" s="30">
        <f t="shared" si="11"/>
        <v>46887</v>
      </c>
      <c r="O134" s="40">
        <f>M134/$M$136</f>
        <v>4.9667274162770871E-2</v>
      </c>
    </row>
    <row r="135" spans="1:15" ht="15.95" customHeight="1" thickBot="1" x14ac:dyDescent="0.25">
      <c r="A135" s="43" t="s">
        <v>234</v>
      </c>
      <c r="B135" s="31" t="s">
        <v>235</v>
      </c>
      <c r="C135" s="30">
        <v>8750</v>
      </c>
      <c r="D135" s="30"/>
      <c r="E135" s="30"/>
      <c r="F135" s="30"/>
      <c r="G135" s="30"/>
      <c r="H135" s="30"/>
      <c r="I135" s="30"/>
      <c r="J135" s="46"/>
      <c r="K135" s="46"/>
      <c r="L135" s="30">
        <f t="shared" si="12"/>
        <v>8750</v>
      </c>
      <c r="M135" s="30">
        <v>1924.74</v>
      </c>
      <c r="N135" s="30">
        <f t="shared" si="11"/>
        <v>6825.26</v>
      </c>
      <c r="O135" s="40">
        <f>M135/$M$136</f>
        <v>8.1837286322628141E-4</v>
      </c>
    </row>
    <row r="136" spans="1:15" ht="18" customHeight="1" thickBot="1" x14ac:dyDescent="0.3">
      <c r="A136" s="34"/>
      <c r="B136" s="35" t="s">
        <v>94</v>
      </c>
      <c r="C136" s="36">
        <f t="shared" ref="C136:N136" si="13">SUM(C31:C135)</f>
        <v>6416776.6099999994</v>
      </c>
      <c r="D136" s="36">
        <f t="shared" si="13"/>
        <v>129000</v>
      </c>
      <c r="E136" s="36">
        <f t="shared" si="13"/>
        <v>129000</v>
      </c>
      <c r="F136" s="36">
        <f t="shared" si="13"/>
        <v>1468277.92</v>
      </c>
      <c r="G136" s="36">
        <f t="shared" si="13"/>
        <v>1468277.92</v>
      </c>
      <c r="H136" s="36">
        <f t="shared" si="13"/>
        <v>136000</v>
      </c>
      <c r="I136" s="36">
        <f t="shared" si="13"/>
        <v>136000</v>
      </c>
      <c r="J136" s="71">
        <f t="shared" si="13"/>
        <v>0</v>
      </c>
      <c r="K136" s="71">
        <f t="shared" si="13"/>
        <v>0</v>
      </c>
      <c r="L136" s="36">
        <f t="shared" si="13"/>
        <v>6416776.6100000003</v>
      </c>
      <c r="M136" s="36">
        <f t="shared" si="13"/>
        <v>2351910.83</v>
      </c>
      <c r="N136" s="36">
        <f t="shared" si="13"/>
        <v>4064865.7800000007</v>
      </c>
      <c r="O136" s="47">
        <v>1</v>
      </c>
    </row>
    <row r="137" spans="1:15" x14ac:dyDescent="0.2">
      <c r="A137" s="48"/>
      <c r="B137" s="85"/>
      <c r="C137" s="88"/>
      <c r="D137" s="86"/>
      <c r="E137" s="49"/>
      <c r="F137" s="49"/>
      <c r="G137" s="49"/>
      <c r="H137" s="49"/>
      <c r="I137" s="49"/>
      <c r="J137" s="72"/>
      <c r="K137" s="72"/>
      <c r="L137" s="49"/>
      <c r="M137" s="49"/>
      <c r="N137" s="49"/>
    </row>
    <row r="138" spans="1:15" ht="15.75" thickBot="1" x14ac:dyDescent="0.25">
      <c r="B138" s="87"/>
      <c r="C138" s="87"/>
      <c r="D138" s="87"/>
      <c r="E138" s="12"/>
      <c r="F138" s="4"/>
      <c r="L138" s="15"/>
      <c r="M138" s="4"/>
    </row>
    <row r="139" spans="1:15" ht="15.75" x14ac:dyDescent="0.25">
      <c r="A139" s="1" t="s">
        <v>85</v>
      </c>
      <c r="B139" s="2"/>
      <c r="C139" s="3"/>
      <c r="D139" s="4"/>
      <c r="E139" s="4"/>
      <c r="F139" s="4"/>
      <c r="G139" s="4"/>
      <c r="H139" s="4"/>
      <c r="I139" s="4"/>
      <c r="J139" s="73"/>
      <c r="K139" s="73"/>
      <c r="L139" s="4"/>
      <c r="M139" s="4"/>
    </row>
    <row r="140" spans="1:15" ht="15.75" x14ac:dyDescent="0.25">
      <c r="A140" s="5" t="s">
        <v>2</v>
      </c>
      <c r="B140" s="6"/>
      <c r="C140" s="7"/>
      <c r="D140" s="4"/>
      <c r="E140" s="4"/>
      <c r="F140" s="4"/>
      <c r="G140" s="4"/>
      <c r="H140" s="4"/>
      <c r="I140" s="4"/>
      <c r="J140" s="73"/>
      <c r="K140" s="73"/>
      <c r="L140" s="4"/>
      <c r="M140" s="4"/>
    </row>
    <row r="141" spans="1:15" ht="5.0999999999999996" customHeight="1" thickBot="1" x14ac:dyDescent="0.25">
      <c r="A141" s="8"/>
      <c r="B141" s="9"/>
      <c r="C141" s="10"/>
      <c r="D141" s="4"/>
      <c r="E141" s="4"/>
      <c r="F141" s="4"/>
      <c r="G141" s="4"/>
      <c r="H141" s="4"/>
      <c r="I141" s="4"/>
      <c r="J141" s="73"/>
      <c r="K141" s="73"/>
      <c r="L141" s="4"/>
      <c r="M141" s="4"/>
    </row>
    <row r="142" spans="1:15" ht="6.95" customHeight="1" x14ac:dyDescent="0.2">
      <c r="A142" s="51"/>
      <c r="B142" s="52"/>
      <c r="C142" s="53"/>
      <c r="D142" s="4"/>
      <c r="E142" s="4"/>
      <c r="F142" s="4"/>
      <c r="G142" s="4"/>
      <c r="H142" s="4"/>
      <c r="I142" s="4"/>
      <c r="J142" s="73"/>
      <c r="K142" s="73"/>
      <c r="L142" s="4"/>
      <c r="M142" s="4"/>
    </row>
    <row r="143" spans="1:15" x14ac:dyDescent="0.2">
      <c r="A143" s="54" t="s">
        <v>86</v>
      </c>
      <c r="B143" s="55"/>
      <c r="C143" s="56"/>
      <c r="D143" s="4"/>
      <c r="E143" s="4"/>
      <c r="F143" s="4"/>
      <c r="G143" s="4"/>
      <c r="H143" s="4"/>
      <c r="I143" s="4"/>
      <c r="J143" s="73"/>
      <c r="K143" s="73"/>
      <c r="L143" s="4"/>
    </row>
    <row r="144" spans="1:15" x14ac:dyDescent="0.2">
      <c r="A144" s="57" t="s">
        <v>236</v>
      </c>
      <c r="B144" s="55"/>
      <c r="C144" s="76">
        <f>260706.83+1025276.81</f>
        <v>1285983.6400000001</v>
      </c>
      <c r="D144" s="49"/>
      <c r="E144" s="4"/>
      <c r="F144" s="4"/>
      <c r="G144" s="4"/>
      <c r="H144" s="4"/>
      <c r="I144" s="4"/>
      <c r="J144" s="73"/>
      <c r="K144" s="73"/>
      <c r="L144" s="4"/>
    </row>
    <row r="145" spans="1:12" x14ac:dyDescent="0.2">
      <c r="A145" s="57" t="s">
        <v>256</v>
      </c>
      <c r="B145" s="55"/>
      <c r="C145" s="76">
        <f>50710.94-4603.19-39.95</f>
        <v>46067.8</v>
      </c>
      <c r="D145" s="49"/>
      <c r="E145" s="4"/>
      <c r="F145" s="4"/>
      <c r="G145" s="4"/>
      <c r="H145" s="4"/>
      <c r="I145" s="4"/>
      <c r="J145" s="73"/>
      <c r="K145" s="73"/>
      <c r="L145" s="4"/>
    </row>
    <row r="146" spans="1:12" x14ac:dyDescent="0.2">
      <c r="A146" s="97" t="s">
        <v>267</v>
      </c>
      <c r="B146" s="55"/>
      <c r="C146" s="76">
        <v>-23005.8</v>
      </c>
      <c r="D146" s="49"/>
      <c r="E146" s="4"/>
      <c r="F146" s="4"/>
      <c r="G146" s="4"/>
      <c r="H146" s="4"/>
      <c r="I146" s="4"/>
      <c r="J146" s="73"/>
      <c r="K146" s="73"/>
      <c r="L146" s="4"/>
    </row>
    <row r="147" spans="1:12" x14ac:dyDescent="0.2">
      <c r="A147" s="97" t="s">
        <v>277</v>
      </c>
      <c r="B147" s="55"/>
      <c r="C147" s="76">
        <f>-22081.94-37993.66</f>
        <v>-60075.600000000006</v>
      </c>
      <c r="D147" s="49"/>
      <c r="E147" s="4"/>
      <c r="F147" s="4"/>
      <c r="G147" s="4"/>
      <c r="H147" s="4"/>
      <c r="I147" s="4"/>
      <c r="J147" s="73"/>
      <c r="K147" s="73"/>
      <c r="L147" s="4"/>
    </row>
    <row r="148" spans="1:12" x14ac:dyDescent="0.2">
      <c r="A148" s="57" t="s">
        <v>87</v>
      </c>
      <c r="B148" s="55"/>
      <c r="C148" s="76">
        <f>M26</f>
        <v>2773714.19</v>
      </c>
      <c r="D148" s="4"/>
      <c r="E148" s="4"/>
      <c r="F148" s="4"/>
      <c r="G148" s="4"/>
      <c r="H148" s="4"/>
      <c r="I148" s="4"/>
      <c r="J148" s="73"/>
      <c r="K148" s="73"/>
      <c r="L148" s="4"/>
    </row>
    <row r="149" spans="1:12" x14ac:dyDescent="0.2">
      <c r="A149" s="57" t="s">
        <v>88</v>
      </c>
      <c r="B149" s="55"/>
      <c r="C149" s="77">
        <f>-M136-39.95</f>
        <v>-2351950.7800000003</v>
      </c>
      <c r="D149" s="4"/>
      <c r="E149" s="4"/>
      <c r="F149" s="4"/>
      <c r="G149" s="4"/>
      <c r="H149" s="4"/>
      <c r="I149" s="4"/>
      <c r="J149" s="73"/>
      <c r="K149" s="73"/>
      <c r="L149" s="4"/>
    </row>
    <row r="150" spans="1:12" ht="15.75" x14ac:dyDescent="0.25">
      <c r="A150" s="58" t="s">
        <v>89</v>
      </c>
      <c r="B150" s="59"/>
      <c r="C150" s="78">
        <f>SUM(C144:C149)</f>
        <v>1670733.4499999997</v>
      </c>
      <c r="D150" s="4"/>
      <c r="E150" s="4"/>
      <c r="F150" s="4"/>
      <c r="G150" s="4"/>
      <c r="H150" s="4"/>
      <c r="I150" s="4"/>
      <c r="J150" s="73"/>
      <c r="K150" s="73"/>
      <c r="L150" s="4"/>
    </row>
    <row r="151" spans="1:12" ht="5.0999999999999996" customHeight="1" x14ac:dyDescent="0.25">
      <c r="A151" s="58"/>
      <c r="B151" s="59"/>
      <c r="C151" s="78"/>
      <c r="D151" s="4"/>
      <c r="E151" s="4"/>
      <c r="F151" s="4"/>
      <c r="G151" s="4"/>
      <c r="H151" s="4"/>
      <c r="I151" s="4"/>
      <c r="J151" s="73"/>
      <c r="K151" s="73"/>
      <c r="L151" s="4"/>
    </row>
    <row r="152" spans="1:12" x14ac:dyDescent="0.2">
      <c r="A152" s="54" t="s">
        <v>90</v>
      </c>
      <c r="B152" s="55"/>
      <c r="C152" s="76"/>
      <c r="D152" s="90"/>
      <c r="E152" s="91"/>
      <c r="F152" s="4"/>
      <c r="G152" s="4"/>
      <c r="H152" s="4"/>
      <c r="I152" s="4"/>
      <c r="J152" s="73"/>
      <c r="K152" s="73"/>
      <c r="L152" s="4"/>
    </row>
    <row r="153" spans="1:12" x14ac:dyDescent="0.2">
      <c r="A153" s="57" t="s">
        <v>152</v>
      </c>
      <c r="B153" s="55"/>
      <c r="C153" s="76">
        <v>272</v>
      </c>
      <c r="D153" s="92"/>
      <c r="E153" s="91"/>
      <c r="F153" s="4"/>
      <c r="G153" s="4"/>
      <c r="H153" s="4"/>
      <c r="I153" s="4"/>
      <c r="J153" s="73"/>
      <c r="K153" s="73"/>
      <c r="L153" s="4"/>
    </row>
    <row r="154" spans="1:12" x14ac:dyDescent="0.2">
      <c r="A154" s="57" t="s">
        <v>156</v>
      </c>
      <c r="B154" s="55"/>
      <c r="C154" s="76">
        <v>10274.74</v>
      </c>
      <c r="D154" s="92"/>
      <c r="E154" s="91"/>
      <c r="F154" s="4"/>
      <c r="G154" s="4"/>
      <c r="H154" s="4"/>
      <c r="I154" s="4"/>
      <c r="J154" s="73"/>
      <c r="K154" s="73"/>
      <c r="L154" s="4"/>
    </row>
    <row r="155" spans="1:12" x14ac:dyDescent="0.2">
      <c r="A155" s="57" t="s">
        <v>154</v>
      </c>
      <c r="B155" s="55"/>
      <c r="C155" s="76">
        <v>1665.2</v>
      </c>
      <c r="D155" s="92"/>
      <c r="E155" s="91"/>
      <c r="F155" s="4"/>
      <c r="G155" s="4"/>
      <c r="H155" s="4"/>
      <c r="I155" s="4"/>
      <c r="J155" s="73"/>
      <c r="K155" s="73"/>
      <c r="L155" s="4"/>
    </row>
    <row r="156" spans="1:12" x14ac:dyDescent="0.2">
      <c r="A156" s="57" t="s">
        <v>153</v>
      </c>
      <c r="B156" s="55"/>
      <c r="C156" s="76">
        <v>1053.68</v>
      </c>
      <c r="D156" s="93"/>
      <c r="E156" s="94"/>
      <c r="F156" s="4"/>
      <c r="G156" s="4"/>
      <c r="H156" s="4"/>
      <c r="I156" s="4"/>
      <c r="J156" s="73"/>
      <c r="K156" s="73"/>
      <c r="L156" s="4"/>
    </row>
    <row r="157" spans="1:12" x14ac:dyDescent="0.2">
      <c r="A157" s="57" t="s">
        <v>253</v>
      </c>
      <c r="B157" s="55"/>
      <c r="C157" s="76">
        <f>990.15+990.15+990.15+990.15+990.15+990.15+990.15</f>
        <v>6931.0499999999993</v>
      </c>
      <c r="D157" s="93"/>
      <c r="E157" s="94"/>
      <c r="F157" s="4"/>
      <c r="G157" s="4"/>
      <c r="H157" s="4"/>
      <c r="I157" s="4"/>
      <c r="J157" s="73"/>
      <c r="K157" s="73"/>
      <c r="L157" s="4"/>
    </row>
    <row r="158" spans="1:12" ht="2.1" customHeight="1" x14ac:dyDescent="0.2">
      <c r="A158" s="57"/>
      <c r="B158" s="55"/>
      <c r="C158" s="77"/>
      <c r="D158" s="92"/>
      <c r="E158" s="91"/>
      <c r="F158" s="4"/>
      <c r="G158" s="4"/>
      <c r="H158" s="4"/>
      <c r="I158" s="4"/>
      <c r="J158" s="73"/>
      <c r="K158" s="73"/>
      <c r="L158" s="4"/>
    </row>
    <row r="159" spans="1:12" ht="15.75" x14ac:dyDescent="0.25">
      <c r="A159" s="58"/>
      <c r="B159" s="59"/>
      <c r="C159" s="78">
        <f>SUM(C153:C158)</f>
        <v>20196.669999999998</v>
      </c>
      <c r="D159" s="92"/>
      <c r="E159" s="91"/>
      <c r="F159" s="4"/>
      <c r="G159" s="4"/>
      <c r="H159" s="4"/>
      <c r="I159" s="4"/>
      <c r="J159" s="73"/>
      <c r="K159" s="73"/>
      <c r="L159" s="4"/>
    </row>
    <row r="160" spans="1:12" ht="2.1" customHeight="1" x14ac:dyDescent="0.25">
      <c r="A160" s="58"/>
      <c r="B160" s="59"/>
      <c r="C160" s="79"/>
      <c r="D160" s="90"/>
      <c r="E160" s="91"/>
      <c r="F160" s="4"/>
      <c r="G160" s="4"/>
      <c r="H160" s="4"/>
      <c r="I160" s="4"/>
      <c r="J160" s="73"/>
      <c r="K160" s="73"/>
      <c r="L160" s="4"/>
    </row>
    <row r="161" spans="1:13" ht="9.9499999999999993" customHeight="1" x14ac:dyDescent="0.2">
      <c r="A161" s="57"/>
      <c r="B161" s="55"/>
      <c r="C161" s="76"/>
      <c r="D161" s="90"/>
      <c r="E161" s="91"/>
      <c r="F161" s="4"/>
      <c r="G161" s="4"/>
      <c r="H161" s="4"/>
      <c r="I161" s="4"/>
      <c r="J161" s="73"/>
      <c r="K161" s="73"/>
      <c r="L161" s="4"/>
    </row>
    <row r="162" spans="1:13" ht="16.5" thickBot="1" x14ac:dyDescent="0.3">
      <c r="A162" s="60" t="s">
        <v>276</v>
      </c>
      <c r="B162" s="61"/>
      <c r="C162" s="75">
        <f>C150+C159</f>
        <v>1690930.1199999996</v>
      </c>
      <c r="D162" s="90"/>
      <c r="E162" s="91"/>
      <c r="F162" s="4"/>
      <c r="G162" s="4"/>
      <c r="H162" s="4"/>
      <c r="I162" s="4"/>
      <c r="J162" s="73"/>
      <c r="K162" s="73"/>
      <c r="L162" s="4"/>
      <c r="M162" s="4"/>
    </row>
    <row r="163" spans="1:13" x14ac:dyDescent="0.2">
      <c r="A163" s="62"/>
      <c r="B163" s="62"/>
      <c r="C163" s="63"/>
      <c r="D163" s="4"/>
      <c r="E163" s="4"/>
      <c r="F163" s="4"/>
      <c r="G163" s="4"/>
      <c r="H163" s="4"/>
      <c r="I163" s="4"/>
      <c r="J163" s="73"/>
      <c r="K163" s="73"/>
      <c r="L163" s="4"/>
    </row>
    <row r="164" spans="1:13" x14ac:dyDescent="0.2">
      <c r="C164" s="63"/>
      <c r="D164" s="4"/>
    </row>
    <row r="165" spans="1:13" x14ac:dyDescent="0.2">
      <c r="C165" s="14"/>
      <c r="D165" s="4"/>
    </row>
    <row r="166" spans="1:13" x14ac:dyDescent="0.2">
      <c r="C166" s="14"/>
      <c r="D166" s="4"/>
    </row>
    <row r="167" spans="1:13" x14ac:dyDescent="0.2">
      <c r="C167" s="15"/>
      <c r="D167" s="4"/>
      <c r="I167" s="4"/>
      <c r="K167" s="73"/>
      <c r="L167" s="4"/>
    </row>
    <row r="168" spans="1:13" x14ac:dyDescent="0.2">
      <c r="C168" s="15"/>
      <c r="D168" s="4"/>
    </row>
    <row r="169" spans="1:13" x14ac:dyDescent="0.2">
      <c r="C169" s="15"/>
      <c r="D169" s="4"/>
    </row>
    <row r="170" spans="1:13" x14ac:dyDescent="0.2">
      <c r="C170" s="15"/>
      <c r="D170" s="4"/>
    </row>
    <row r="171" spans="1:13" x14ac:dyDescent="0.2">
      <c r="C171" s="15"/>
      <c r="D171" s="4"/>
    </row>
    <row r="172" spans="1:13" x14ac:dyDescent="0.2">
      <c r="D172" s="4"/>
    </row>
    <row r="173" spans="1:13" x14ac:dyDescent="0.2">
      <c r="D173" s="4"/>
    </row>
    <row r="174" spans="1:13" x14ac:dyDescent="0.2">
      <c r="B174" s="11" t="s">
        <v>239</v>
      </c>
      <c r="D174" s="13" t="s">
        <v>240</v>
      </c>
      <c r="I174" s="13"/>
      <c r="K174" s="83"/>
      <c r="M174" s="11" t="s">
        <v>269</v>
      </c>
    </row>
    <row r="175" spans="1:13" x14ac:dyDescent="0.2">
      <c r="B175" s="11" t="s">
        <v>91</v>
      </c>
      <c r="D175" s="13" t="s">
        <v>92</v>
      </c>
      <c r="M175" s="11" t="s">
        <v>270</v>
      </c>
    </row>
    <row r="179" spans="7:12" x14ac:dyDescent="0.2">
      <c r="I179" s="4"/>
      <c r="K179" s="73"/>
      <c r="L179" s="4"/>
    </row>
    <row r="180" spans="7:12" x14ac:dyDescent="0.2">
      <c r="I180" s="4"/>
      <c r="K180" s="73"/>
      <c r="L180" s="4"/>
    </row>
    <row r="181" spans="7:12" x14ac:dyDescent="0.2">
      <c r="G181" s="64"/>
      <c r="I181" s="64"/>
      <c r="K181" s="74"/>
      <c r="L181" s="4"/>
    </row>
    <row r="182" spans="7:12" x14ac:dyDescent="0.2">
      <c r="G182" s="64"/>
      <c r="I182" s="64"/>
      <c r="K182" s="74"/>
      <c r="L182" s="4"/>
    </row>
    <row r="183" spans="7:12" x14ac:dyDescent="0.2">
      <c r="G183" s="64"/>
      <c r="L183" s="4"/>
    </row>
    <row r="184" spans="7:12" x14ac:dyDescent="0.2">
      <c r="G184" s="64"/>
    </row>
    <row r="185" spans="7:12" x14ac:dyDescent="0.2">
      <c r="G185" s="64"/>
    </row>
    <row r="186" spans="7:12" x14ac:dyDescent="0.2">
      <c r="G186" s="64"/>
      <c r="L186" s="4"/>
    </row>
    <row r="187" spans="7:12" x14ac:dyDescent="0.2">
      <c r="G187" s="64"/>
    </row>
    <row r="188" spans="7:12" x14ac:dyDescent="0.2">
      <c r="G188" s="64"/>
    </row>
    <row r="189" spans="7:12" x14ac:dyDescent="0.2">
      <c r="G189" s="64"/>
    </row>
    <row r="190" spans="7:12" x14ac:dyDescent="0.2">
      <c r="G190" s="64"/>
    </row>
    <row r="191" spans="7:12" x14ac:dyDescent="0.2">
      <c r="G191" s="64"/>
    </row>
    <row r="192" spans="7:12" x14ac:dyDescent="0.2">
      <c r="G192" s="64"/>
    </row>
    <row r="193" spans="7:7" x14ac:dyDescent="0.2">
      <c r="G193" s="64"/>
    </row>
    <row r="194" spans="7:7" x14ac:dyDescent="0.2">
      <c r="G194" s="64"/>
    </row>
    <row r="195" spans="7:7" x14ac:dyDescent="0.2">
      <c r="G195" s="64"/>
    </row>
    <row r="196" spans="7:7" x14ac:dyDescent="0.2">
      <c r="G196" s="64"/>
    </row>
    <row r="197" spans="7:7" x14ac:dyDescent="0.2">
      <c r="G197" s="64"/>
    </row>
    <row r="198" spans="7:7" x14ac:dyDescent="0.2">
      <c r="G198" s="64"/>
    </row>
  </sheetData>
  <mergeCells count="2">
    <mergeCell ref="B6:B7"/>
    <mergeCell ref="M6:M7"/>
  </mergeCells>
  <pageMargins left="0.70866141732283472" right="0.70866141732283472" top="0.74803149606299213" bottom="0.74803149606299213" header="0.31496062992125984" footer="0.31496062992125984"/>
  <pageSetup scale="47" orientation="landscape" horizontalDpi="360" verticalDpi="360" r:id="rId1"/>
  <rowBreaks count="2" manualBreakCount="2">
    <brk id="53" max="14" man="1"/>
    <brk id="117" max="16383" man="1"/>
  </rowBreaks>
  <ignoredErrors>
    <ignoredError sqref="O1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17</vt:i4>
      </vt:variant>
    </vt:vector>
  </HeadingPairs>
  <TitlesOfParts>
    <vt:vector size="29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  <vt:lpstr>ABRIL!Títulos_a_imprimir</vt:lpstr>
      <vt:lpstr>ENERO!Títulos_a_imprimir</vt:lpstr>
      <vt:lpstr>FEBRERO!Títulos_a_imprimir</vt:lpstr>
      <vt:lpstr>MARZO!Títulos_a_imprimir</vt:lpstr>
      <vt:lpstr>MAYO!Títulos_a_imprimir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Vivi</cp:lastModifiedBy>
  <cp:lastPrinted>2021-01-13T14:17:07Z</cp:lastPrinted>
  <dcterms:created xsi:type="dcterms:W3CDTF">2018-02-13T22:14:16Z</dcterms:created>
  <dcterms:modified xsi:type="dcterms:W3CDTF">2021-01-13T21:42:02Z</dcterms:modified>
</cp:coreProperties>
</file>